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6" documentId="13_ncr:1_{60D7C41A-DDEF-4BB4-934C-AA979C89BF48}" xr6:coauthVersionLast="47" xr6:coauthVersionMax="47" xr10:uidLastSave="{72E11293-48EA-4331-8880-1B92DEE49FAC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43" i="130" l="1"/>
  <c r="E342" i="130"/>
  <c r="G366" i="130" l="1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N365" i="130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5" i="130"/>
  <c r="L364" i="130"/>
  <c r="L360" i="130"/>
  <c r="L359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D550" i="130" l="1"/>
  <c r="C550" i="130"/>
  <c r="C271" i="130"/>
  <c r="G367" i="130" l="1"/>
  <c r="D367" i="130"/>
  <c r="C367" i="130"/>
  <c r="Y271" i="130" l="1"/>
  <c r="Y41" i="130" l="1"/>
  <c r="D484" i="130" l="1"/>
  <c r="C484" i="130"/>
  <c r="E482" i="130"/>
  <c r="E483" i="130"/>
  <c r="D452" i="130"/>
  <c r="C452" i="130"/>
  <c r="E451" i="130"/>
  <c r="F367" i="130"/>
  <c r="H366" i="130" l="1"/>
  <c r="H344" i="130"/>
  <c r="E366" i="130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F531" i="130"/>
  <c r="F537" i="130" s="1"/>
  <c r="F550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D640" i="130" l="1"/>
  <c r="C640" i="130"/>
  <c r="D328" i="130" l="1"/>
  <c r="C328" i="130"/>
  <c r="Y272" i="130" l="1"/>
  <c r="D531" i="130" l="1"/>
  <c r="C230" i="130" l="1"/>
  <c r="C212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1" i="130"/>
  <c r="W632" i="130" l="1"/>
  <c r="X632" i="130"/>
  <c r="X633" i="130"/>
  <c r="X631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128" i="130" l="1"/>
  <c r="X162" i="130" l="1"/>
  <c r="Y162" i="130"/>
  <c r="C531" i="130" l="1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<sst xmlns="http://schemas.openxmlformats.org/spreadsheetml/2006/main" count="1610" uniqueCount="479">
  <si>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</si>
  <si>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</si>
  <si>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</si>
  <si>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</si>
  <si>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</si>
  <si>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</si>
  <si>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</si>
  <si>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</si>
  <si>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</si>
  <si>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</si>
  <si>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</si>
  <si>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</si>
  <si>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</si>
  <si>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</si>
  <si>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</si>
  <si>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</si>
  <si>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</si>
  <si>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</si>
  <si>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</si>
  <si>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</si>
  <si>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</si>
  <si>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</si>
  <si>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</si>
  <si>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</si>
  <si>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</si>
  <si>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</si>
  <si>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</si>
  <si>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</si>
  <si>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</si>
  <si>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</si>
  <si>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</si>
  <si>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</si>
  <si>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</si>
  <si>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</si>
  <si>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</si>
  <si>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</si>
  <si>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</si>
  <si>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</si>
  <si>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</si>
  <si>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</si>
  <si>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</si>
  <si>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</si>
  <si>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</si>
  <si>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</si>
  <si>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</si>
  <si>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</si>
  <si>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</si>
  <si>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</si>
  <si>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</si>
  <si>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</si>
  <si>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</si>
  <si>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</si>
  <si>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</si>
  <si>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</si>
  <si>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</si>
  <si>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</si>
  <si>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</si>
  <si>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</si>
  <si>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</si>
  <si>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</si>
  <si>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</si>
  <si>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</si>
  <si>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</si>
  <si>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</si>
  <si>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</si>
  <si>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</si>
  <si>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</si>
  <si>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</si>
  <si>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</si>
  <si>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</si>
  <si>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</si>
  <si>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</si>
  <si>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</si>
  <si>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</si>
  <si>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</si>
  <si>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</si>
  <si>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</si>
  <si>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</si>
  <si>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</si>
  <si>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</si>
  <si>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</si>
  <si>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</si>
  <si>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</si>
  <si>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</si>
  <si>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</si>
  <si>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</si>
  <si>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</si>
  <si>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</si>
  <si>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</si>
  <si>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</si>
  <si>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</si>
  <si>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</si>
  <si>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</si>
  <si>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</si>
  <si>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</si>
  <si>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</si>
  <si>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</si>
  <si>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</si>
  <si>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</si>
  <si>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</si>
  <si>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</si>
  <si>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</si>
  <si>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</si>
  <si>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</si>
  <si>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</si>
  <si>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</si>
  <si>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</si>
  <si>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</si>
  <si>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</si>
  <si>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</si>
  <si>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</si>
  <si>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</si>
  <si>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</si>
  <si>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</si>
  <si>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</si>
  <si>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</si>
  <si>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</si>
  <si>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</si>
  <si>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</si>
  <si>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</si>
  <si>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</si>
  <si>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</si>
  <si>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</si>
  <si>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</si>
  <si>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</si>
  <si>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</si>
  <si>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</si>
  <si>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</si>
  <si>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</si>
  <si>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</si>
  <si>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</si>
  <si>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</si>
  <si>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</si>
  <si>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</si>
  <si>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</si>
  <si>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</si>
  <si>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</si>
  <si>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</si>
  <si>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</si>
  <si>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</si>
  <si>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</si>
  <si>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</si>
  <si>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</si>
  <si>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</si>
  <si>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</si>
  <si>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</si>
  <si>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</si>
  <si>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</si>
  <si>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</si>
  <si>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</si>
  <si>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</si>
  <si>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</si>
  <si>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</si>
  <si>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</si>
  <si>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</si>
  <si>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</si>
  <si>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</si>
  <si>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</si>
  <si>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</si>
  <si>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</si>
  <si>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</si>
  <si>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</si>
  <si>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</si>
  <si>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</si>
  <si>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</si>
  <si>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</si>
  <si>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</si>
  <si>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</si>
  <si>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</si>
  <si>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</si>
  <si>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</si>
  <si>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</si>
  <si>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</si>
  <si>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</si>
  <si>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</si>
  <si>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</si>
  <si>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</si>
  <si>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</si>
  <si>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</si>
  <si>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</si>
  <si>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</si>
  <si>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</si>
  <si>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</si>
  <si>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</si>
  <si>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</si>
  <si>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</si>
  <si>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</si>
  <si>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</si>
  <si>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</si>
  <si>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</si>
  <si>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</si>
  <si>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</si>
  <si>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</si>
  <si>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</si>
  <si>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</si>
  <si>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</si>
  <si>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</si>
  <si>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</si>
  <si>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</si>
  <si>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</si>
  <si>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</si>
  <si>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</si>
  <si>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</si>
  <si>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</si>
  <si>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</si>
  <si>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</si>
  <si>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</si>
  <si>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</si>
  <si>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</si>
  <si>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</si>
  <si>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</si>
  <si>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</si>
  <si>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</si>
  <si>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</si>
  <si>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</si>
  <si>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</si>
  <si>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</si>
  <si>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</si>
  <si>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</si>
  <si>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</si>
  <si>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</si>
  <si>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</si>
  <si>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</si>
  <si>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</si>
  <si>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</si>
  <si>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</si>
  <si>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</si>
  <si>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</si>
  <si>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</si>
  <si>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</si>
  <si>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</si>
  <si>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</si>
  <si>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</si>
  <si>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</si>
  <si>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</si>
  <si>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</si>
  <si>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</si>
  <si>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</si>
  <si>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</si>
  <si>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</si>
  <si>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</si>
  <si>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</si>
  <si>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</si>
  <si>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</si>
  <si>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</si>
  <si>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</si>
  <si>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</si>
  <si>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</si>
  <si>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</si>
  <si>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</si>
  <si>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</si>
  <si>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</si>
  <si>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</si>
  <si>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</si>
  <si>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</si>
  <si>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</si>
  <si>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</si>
  <si>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</si>
  <si>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</si>
  <si>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</si>
  <si>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</si>
  <si>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</si>
  <si>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</si>
  <si>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</si>
  <si>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</si>
  <si>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</si>
  <si>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</si>
  <si>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</si>
  <si>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</si>
  <si>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</si>
  <si>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</si>
  <si>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</si>
  <si>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</si>
  <si>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</si>
  <si>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</si>
  <si>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</si>
  <si>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</si>
  <si>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</si>
  <si>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</si>
  <si>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</si>
  <si>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</si>
  <si>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</si>
  <si>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</si>
  <si>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</si>
  <si>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</si>
  <si>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</si>
  <si>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</si>
  <si>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</si>
  <si>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</si>
  <si>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</si>
  <si>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</si>
  <si>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</si>
  <si>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</si>
  <si>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</si>
  <si>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</si>
  <si>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</si>
  <si>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</si>
  <si>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</si>
  <si>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</si>
  <si>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</si>
  <si>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</si>
  <si>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</si>
  <si>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</si>
  <si>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</si>
  <si>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</si>
  <si>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</si>
  <si>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</si>
  <si>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</si>
  <si>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</si>
  <si>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</si>
  <si>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</si>
  <si>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</si>
  <si>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</si>
  <si>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</si>
  <si>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</si>
  <si>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</si>
  <si>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</si>
  <si>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</si>
  <si>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</si>
  <si>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</si>
  <si>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</si>
  <si>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</si>
  <si>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</si>
  <si>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</si>
  <si>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</si>
  <si>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</si>
  <si>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</si>
  <si>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</si>
  <si>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</si>
  <si>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</si>
  <si>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</si>
  <si>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</si>
  <si>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</si>
  <si>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</si>
  <si>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MARCOS</t>
  </si>
  <si>
    <t>IPÍS</t>
  </si>
  <si>
    <t>MORAVIA</t>
  </si>
  <si>
    <t>SAN ISIDRO DE EL GENERAL</t>
  </si>
  <si>
    <t>PALMARES</t>
  </si>
  <si>
    <t>ESQUÍPULAS</t>
  </si>
  <si>
    <t>CUTRIS</t>
  </si>
  <si>
    <t>BAGACES</t>
  </si>
  <si>
    <t>BARRANCA</t>
  </si>
  <si>
    <t>POTRERO GRANDE</t>
  </si>
  <si>
    <t>PAVÓN</t>
  </si>
  <si>
    <t>LAUREL</t>
  </si>
  <si>
    <t>ACOSTA</t>
  </si>
  <si>
    <t>OROTINA</t>
  </si>
  <si>
    <t>PURISCAL</t>
  </si>
  <si>
    <t>SAN RAFAEL</t>
  </si>
  <si>
    <t>PIEDADES NORTE</t>
  </si>
  <si>
    <t>EL GENERAL</t>
  </si>
  <si>
    <t>TILARÁN</t>
  </si>
  <si>
    <t>SANTA ROSA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</si>
  <si>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</si>
  <si>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</si>
  <si>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</si>
  <si>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</si>
  <si>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</si>
  <si>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</si>
  <si>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</si>
  <si>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LAS JUNTAS</t>
  </si>
  <si>
    <t>EL ROBLE</t>
  </si>
  <si>
    <t>SIQUIRRES</t>
  </si>
  <si>
    <t>BRUNKA</t>
  </si>
  <si>
    <t>PEJIBAYE</t>
  </si>
  <si>
    <t>TAYUTIC</t>
  </si>
  <si>
    <t>GUÁCIMA</t>
  </si>
  <si>
    <t>PUENTE DE PIEDRA</t>
  </si>
  <si>
    <t>QUESADA</t>
  </si>
  <si>
    <t>SANTA BÁRBARA</t>
  </si>
  <si>
    <t>CARRILLO</t>
  </si>
  <si>
    <t>SARDINAL</t>
  </si>
  <si>
    <t>ATENAS</t>
  </si>
  <si>
    <t>BUENAVISTA</t>
  </si>
  <si>
    <t>NICOYA</t>
  </si>
  <si>
    <t>HOJANCHA</t>
  </si>
  <si>
    <t>SAN VITO</t>
  </si>
  <si>
    <t>CAJÓN</t>
  </si>
  <si>
    <t>BIOLLEY</t>
  </si>
  <si>
    <t>SAN LORENZO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</si>
  <si>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</si>
  <si>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</si>
  <si>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</si>
  <si>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</si>
  <si>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</si>
  <si>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</si>
  <si>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</si>
  <si>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</si>
  <si>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</si>
  <si>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</si>
  <si>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</si>
  <si>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</si>
  <si>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</si>
  <si>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CHIRRIPÓ</t>
  </si>
  <si>
    <t>VALLE LA ESTRELLA</t>
  </si>
  <si>
    <t>MACACONA</t>
  </si>
  <si>
    <t>CANOAS</t>
  </si>
  <si>
    <t>MATAMA</t>
  </si>
  <si>
    <t>LA TIGRA</t>
  </si>
  <si>
    <t>YOLILLAL</t>
  </si>
  <si>
    <t>EL CAIRO</t>
  </si>
  <si>
    <t>FEBRERO</t>
  </si>
  <si>
    <t>MARZO</t>
  </si>
  <si>
    <t>CALLE BLANCOS</t>
  </si>
  <si>
    <t>SAN JUAN</t>
  </si>
  <si>
    <t>VENADO</t>
  </si>
  <si>
    <t>DELICIAS</t>
  </si>
  <si>
    <t>RÍO CUARTO</t>
  </si>
  <si>
    <t>EL GUARCO</t>
  </si>
  <si>
    <t>EL TEJAR</t>
  </si>
  <si>
    <t>MANSIÓN</t>
  </si>
  <si>
    <t>TEMPATE</t>
  </si>
  <si>
    <t>BAHÍA BALLENA</t>
  </si>
  <si>
    <t>QUEPOS</t>
  </si>
  <si>
    <t>GUTIERREZ BRAUN</t>
  </si>
  <si>
    <t>CORREDOR</t>
  </si>
  <si>
    <t>REVENTAZÓN</t>
  </si>
  <si>
    <t>DUACARÍ</t>
  </si>
  <si>
    <t>PLATANARES</t>
  </si>
  <si>
    <t>MONTE VERDE</t>
  </si>
  <si>
    <t>SAN NICOLÁS</t>
  </si>
  <si>
    <t>LA AMISTAD</t>
  </si>
  <si>
    <t>EL MASTATE</t>
  </si>
  <si>
    <t>PACAYAS</t>
  </si>
  <si>
    <t>SAN JORGE</t>
  </si>
  <si>
    <t>BOLÍVAR</t>
  </si>
  <si>
    <t>CHACARITA</t>
  </si>
  <si>
    <t>Del 01 de Enero al 30 de Abril de 2025</t>
  </si>
  <si>
    <t>21. Bonos Formalizados Población LGTBI Por Propósito en el mes de Abril de 2025</t>
  </si>
  <si>
    <t>ABRIL</t>
  </si>
  <si>
    <t>POSTULADOS ORDINARIOS  DEL 01/01/2025 AL 30/04/2025</t>
  </si>
  <si>
    <t>POSTULADOS ART 59  DEL 01/01/2025 AL 30/04/2025</t>
  </si>
  <si>
    <t>01/01/2025 al 30/04/2025</t>
  </si>
  <si>
    <t>01/01/2024 al 30/04/2024</t>
  </si>
  <si>
    <t>Formalizados Abril 2025</t>
  </si>
  <si>
    <t>Formalizados Abril 2024</t>
  </si>
  <si>
    <t>AL 30 DE ABRIL 2025</t>
  </si>
  <si>
    <t>AL 30 DE ABRIL 2024</t>
  </si>
  <si>
    <t>EMITIDOS DEL 01/01/2024 AL 30/04/2024</t>
  </si>
  <si>
    <t>FORMALIZADOS DEL 01/01/2024 AL 30/04/2024</t>
  </si>
  <si>
    <t>EMITIDOS DEL 01/01/2025 AL 30/04/2025</t>
  </si>
  <si>
    <t>FORMALIZADOS DEL 01/01/2025 AL 30/04/2025</t>
  </si>
  <si>
    <t>Acumulado: del 01/01/2025 al 30/04/2025</t>
  </si>
  <si>
    <t>Acumulado: del 01/01/2024 al 30/04/2024</t>
  </si>
  <si>
    <t>B.P.D.C.</t>
  </si>
  <si>
    <t>B. N. C. R.</t>
  </si>
  <si>
    <t>B.C.R</t>
  </si>
  <si>
    <t>FUND.C.R.CANADA</t>
  </si>
  <si>
    <t>COOPESANMARCOS</t>
  </si>
  <si>
    <t>COOPEANDE No. 1</t>
  </si>
  <si>
    <t>ASEDEMASA S.A</t>
  </si>
  <si>
    <t>SAN RAFAEL ABAJO</t>
  </si>
  <si>
    <t>OROSI</t>
  </si>
  <si>
    <t>CIPRESES</t>
  </si>
  <si>
    <t>CURRIDABAT</t>
  </si>
  <si>
    <t>MERCEDES</t>
  </si>
  <si>
    <t>URUCA</t>
  </si>
  <si>
    <t>DESAMPARADITOS</t>
  </si>
  <si>
    <t>LA TRINIDAD</t>
  </si>
  <si>
    <t>BIRRISITO</t>
  </si>
  <si>
    <t>SAN FRANCISCO</t>
  </si>
  <si>
    <t>CANALETE</t>
  </si>
  <si>
    <t>RÍO NARANJO</t>
  </si>
  <si>
    <t>CÓBANO</t>
  </si>
  <si>
    <t>LA COLONIA</t>
  </si>
  <si>
    <t>CORRALILLO</t>
  </si>
  <si>
    <t>TURRÚCARES</t>
  </si>
  <si>
    <t>SIERRA</t>
  </si>
  <si>
    <t>CANGREJAL</t>
  </si>
  <si>
    <t>PIEDADES SUR</t>
  </si>
  <si>
    <t>CABO VELAS</t>
  </si>
  <si>
    <t>FILADELFIA</t>
  </si>
  <si>
    <t>PILAS</t>
  </si>
  <si>
    <t>PAVAS</t>
  </si>
  <si>
    <t>NACASCOLO</t>
  </si>
  <si>
    <t>BORUCA</t>
  </si>
  <si>
    <t>MORA</t>
  </si>
  <si>
    <t>QUITIRRISI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</si>
</sst>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4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16">
    <xf numFmtId="0" fontId="0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54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6" fillId="0" borderId="0"/>
    <xf numFmtId="191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254" fillId="0" borderId="0"/>
    <xf numFmtId="0" fontId="250" fillId="0" borderId="0"/>
    <xf numFmtId="182" fontId="253" fillId="0" borderId="0" applyFont="0" applyFill="0" applyBorder="0" applyAlignment="0" applyProtection="0"/>
    <xf numFmtId="0" fontId="249" fillId="0" borderId="0"/>
    <xf numFmtId="0" fontId="248" fillId="0" borderId="0"/>
    <xf numFmtId="169" fontId="248" fillId="0" borderId="0" applyFont="0" applyFill="0" applyBorder="0" applyAlignment="0" applyProtection="0"/>
    <xf numFmtId="0" fontId="252" fillId="0" borderId="0"/>
    <xf numFmtId="0" fontId="247" fillId="0" borderId="0"/>
    <xf numFmtId="0" fontId="246" fillId="0" borderId="0"/>
    <xf numFmtId="0" fontId="245" fillId="0" borderId="0"/>
    <xf numFmtId="169" fontId="245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44" fillId="0" borderId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53" fillId="0" borderId="0"/>
    <xf numFmtId="191" fontId="253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63" fillId="0" borderId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5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169" fontId="243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1" fillId="0" borderId="0"/>
    <xf numFmtId="0" fontId="240" fillId="0" borderId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0" fontId="254" fillId="0" borderId="0"/>
    <xf numFmtId="0" fontId="237" fillId="0" borderId="0"/>
    <xf numFmtId="9" fontId="253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5" fillId="0" borderId="0"/>
    <xf numFmtId="0" fontId="234" fillId="0" borderId="0"/>
    <xf numFmtId="0" fontId="253" fillId="0" borderId="0"/>
    <xf numFmtId="0" fontId="264" fillId="0" borderId="0"/>
    <xf numFmtId="0" fontId="233" fillId="0" borderId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5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53" fillId="0" borderId="0"/>
    <xf numFmtId="0" fontId="232" fillId="0" borderId="0"/>
    <xf numFmtId="169" fontId="232" fillId="0" borderId="0" applyFont="0" applyFill="0" applyBorder="0" applyAlignment="0" applyProtection="0"/>
    <xf numFmtId="0" fontId="264" fillId="0" borderId="0"/>
    <xf numFmtId="0" fontId="231" fillId="0" borderId="0"/>
    <xf numFmtId="169" fontId="231" fillId="0" borderId="0" applyFont="0" applyFill="0" applyBorder="0" applyAlignment="0" applyProtection="0"/>
    <xf numFmtId="0" fontId="265" fillId="0" borderId="0"/>
    <xf numFmtId="0" fontId="230" fillId="0" borderId="0"/>
    <xf numFmtId="0" fontId="266" fillId="0" borderId="0"/>
    <xf numFmtId="0" fontId="229" fillId="0" borderId="0"/>
    <xf numFmtId="0" fontId="228" fillId="0" borderId="0"/>
    <xf numFmtId="0" fontId="227" fillId="0" borderId="0"/>
    <xf numFmtId="169" fontId="227" fillId="0" borderId="0" applyFont="0" applyFill="0" applyBorder="0" applyAlignment="0" applyProtection="0"/>
    <xf numFmtId="0" fontId="226" fillId="0" borderId="0"/>
    <xf numFmtId="0" fontId="225" fillId="0" borderId="0"/>
    <xf numFmtId="169" fontId="225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53" fillId="0" borderId="0"/>
    <xf numFmtId="0" fontId="225" fillId="0" borderId="0"/>
    <xf numFmtId="169" fontId="225" fillId="0" borderId="0" applyFont="0" applyFill="0" applyBorder="0" applyAlignment="0" applyProtection="0"/>
    <xf numFmtId="0" fontId="253" fillId="0" borderId="0"/>
    <xf numFmtId="0" fontId="225" fillId="0" borderId="0"/>
    <xf numFmtId="0" fontId="253" fillId="0" borderId="0"/>
    <xf numFmtId="0" fontId="225" fillId="0" borderId="0"/>
    <xf numFmtId="0" fontId="225" fillId="0" borderId="0"/>
    <xf numFmtId="0" fontId="225" fillId="0" borderId="0"/>
    <xf numFmtId="169" fontId="225" fillId="0" borderId="0" applyFont="0" applyFill="0" applyBorder="0" applyAlignment="0" applyProtection="0"/>
    <xf numFmtId="0" fontId="225" fillId="0" borderId="0"/>
    <xf numFmtId="0" fontId="224" fillId="0" borderId="0"/>
    <xf numFmtId="169" fontId="224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69" fillId="0" borderId="0"/>
    <xf numFmtId="0" fontId="222" fillId="0" borderId="0"/>
    <xf numFmtId="0" fontId="221" fillId="0" borderId="0"/>
    <xf numFmtId="0" fontId="270" fillId="0" borderId="0"/>
    <xf numFmtId="169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53" fillId="0" borderId="0"/>
    <xf numFmtId="0" fontId="220" fillId="0" borderId="0"/>
    <xf numFmtId="0" fontId="220" fillId="0" borderId="0"/>
    <xf numFmtId="0" fontId="253" fillId="0" borderId="0"/>
    <xf numFmtId="169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169" fontId="219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0" fontId="211" fillId="0" borderId="0"/>
    <xf numFmtId="0" fontId="271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5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3" borderId="0" applyNumberFormat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8" fontId="203" fillId="0" borderId="0" applyFont="0" applyFill="0" applyBorder="0" applyAlignment="0" applyProtection="0"/>
    <xf numFmtId="0" fontId="203" fillId="0" borderId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3" borderId="0" applyNumberFormat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3" borderId="0" applyNumberFormat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0" fontId="254" fillId="0" borderId="0"/>
    <xf numFmtId="0" fontId="198" fillId="0" borderId="0"/>
    <xf numFmtId="169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0" fontId="255" fillId="4" borderId="0" applyNumberFormat="0" applyBorder="0" applyAlignment="0" applyProtection="0"/>
    <xf numFmtId="0" fontId="255" fillId="5" borderId="0" applyNumberFormat="0" applyBorder="0" applyAlignment="0" applyProtection="0"/>
    <xf numFmtId="0" fontId="255" fillId="6" borderId="0" applyNumberFormat="0" applyBorder="0" applyAlignment="0" applyProtection="0"/>
    <xf numFmtId="0" fontId="255" fillId="7" borderId="0" applyNumberFormat="0" applyBorder="0" applyAlignment="0" applyProtection="0"/>
    <xf numFmtId="0" fontId="255" fillId="8" borderId="0" applyNumberFormat="0" applyBorder="0" applyAlignment="0" applyProtection="0"/>
    <xf numFmtId="0" fontId="255" fillId="9" borderId="0" applyNumberFormat="0" applyBorder="0" applyAlignment="0" applyProtection="0"/>
    <xf numFmtId="0" fontId="255" fillId="10" borderId="0" applyNumberFormat="0" applyBorder="0" applyAlignment="0" applyProtection="0"/>
    <xf numFmtId="0" fontId="255" fillId="11" borderId="0" applyNumberFormat="0" applyBorder="0" applyAlignment="0" applyProtection="0"/>
    <xf numFmtId="0" fontId="255" fillId="6" borderId="0" applyNumberFormat="0" applyBorder="0" applyAlignment="0" applyProtection="0"/>
    <xf numFmtId="0" fontId="255" fillId="9" borderId="0" applyNumberFormat="0" applyBorder="0" applyAlignment="0" applyProtection="0"/>
    <xf numFmtId="0" fontId="255" fillId="12" borderId="0" applyNumberFormat="0" applyBorder="0" applyAlignment="0" applyProtection="0"/>
    <xf numFmtId="0" fontId="272" fillId="13" borderId="0" applyNumberFormat="0" applyBorder="0" applyAlignment="0" applyProtection="0"/>
    <xf numFmtId="0" fontId="272" fillId="10" borderId="0" applyNumberFormat="0" applyBorder="0" applyAlignment="0" applyProtection="0"/>
    <xf numFmtId="0" fontId="272" fillId="11" borderId="0" applyNumberFormat="0" applyBorder="0" applyAlignment="0" applyProtection="0"/>
    <xf numFmtId="0" fontId="272" fillId="14" borderId="0" applyNumberFormat="0" applyBorder="0" applyAlignment="0" applyProtection="0"/>
    <xf numFmtId="0" fontId="272" fillId="15" borderId="0" applyNumberFormat="0" applyBorder="0" applyAlignment="0" applyProtection="0"/>
    <xf numFmtId="0" fontId="272" fillId="16" borderId="0" applyNumberFormat="0" applyBorder="0" applyAlignment="0" applyProtection="0"/>
    <xf numFmtId="0" fontId="273" fillId="17" borderId="0" applyNumberFormat="0" applyBorder="0" applyAlignment="0" applyProtection="0"/>
    <xf numFmtId="0" fontId="274" fillId="18" borderId="15" applyNumberFormat="0" applyAlignment="0" applyProtection="0"/>
    <xf numFmtId="0" fontId="275" fillId="19" borderId="16" applyNumberFormat="0" applyAlignment="0" applyProtection="0"/>
    <xf numFmtId="0" fontId="276" fillId="0" borderId="17" applyNumberFormat="0" applyFill="0" applyAlignment="0" applyProtection="0"/>
    <xf numFmtId="0" fontId="277" fillId="0" borderId="0" applyNumberFormat="0" applyFill="0" applyBorder="0" applyAlignment="0" applyProtection="0"/>
    <xf numFmtId="0" fontId="272" fillId="20" borderId="0" applyNumberFormat="0" applyBorder="0" applyAlignment="0" applyProtection="0"/>
    <xf numFmtId="0" fontId="272" fillId="21" borderId="0" applyNumberFormat="0" applyBorder="0" applyAlignment="0" applyProtection="0"/>
    <xf numFmtId="0" fontId="272" fillId="22" borderId="0" applyNumberFormat="0" applyBorder="0" applyAlignment="0" applyProtection="0"/>
    <xf numFmtId="0" fontId="272" fillId="14" borderId="0" applyNumberFormat="0" applyBorder="0" applyAlignment="0" applyProtection="0"/>
    <xf numFmtId="0" fontId="272" fillId="15" borderId="0" applyNumberFormat="0" applyBorder="0" applyAlignment="0" applyProtection="0"/>
    <xf numFmtId="0" fontId="272" fillId="23" borderId="0" applyNumberFormat="0" applyBorder="0" applyAlignment="0" applyProtection="0"/>
    <xf numFmtId="0" fontId="278" fillId="8" borderId="15" applyNumberFormat="0" applyAlignment="0" applyProtection="0"/>
    <xf numFmtId="0" fontId="279" fillId="5" borderId="0" applyNumberFormat="0" applyBorder="0" applyAlignment="0" applyProtection="0"/>
    <xf numFmtId="0" fontId="280" fillId="24" borderId="0" applyNumberFormat="0" applyBorder="0" applyAlignment="0" applyProtection="0"/>
    <xf numFmtId="0" fontId="253" fillId="25" borderId="14" applyNumberFormat="0" applyFont="0" applyAlignment="0" applyProtection="0"/>
    <xf numFmtId="0" fontId="281" fillId="18" borderId="18" applyNumberFormat="0" applyAlignment="0" applyProtection="0"/>
    <xf numFmtId="0" fontId="282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0" fontId="284" fillId="0" borderId="19" applyNumberFormat="0" applyFill="0" applyAlignment="0" applyProtection="0"/>
    <xf numFmtId="0" fontId="285" fillId="0" borderId="20" applyNumberFormat="0" applyFill="0" applyAlignment="0" applyProtection="0"/>
    <xf numFmtId="0" fontId="277" fillId="0" borderId="21" applyNumberFormat="0" applyFill="0" applyAlignment="0" applyProtection="0"/>
    <xf numFmtId="0" fontId="286" fillId="0" borderId="0" applyNumberFormat="0" applyFill="0" applyBorder="0" applyAlignment="0" applyProtection="0"/>
    <xf numFmtId="0" fontId="287" fillId="0" borderId="22" applyNumberFormat="0" applyFill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88" fillId="0" borderId="0"/>
    <xf numFmtId="169" fontId="288" fillId="0" borderId="0" applyFont="0" applyFill="0" applyBorder="0" applyAlignment="0" applyProtection="0"/>
    <xf numFmtId="0" fontId="181" fillId="0" borderId="0"/>
    <xf numFmtId="0" fontId="181" fillId="0" borderId="0"/>
    <xf numFmtId="9" fontId="288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254" fillId="0" borderId="0"/>
    <xf numFmtId="0" fontId="171" fillId="0" borderId="0"/>
    <xf numFmtId="168" fontId="171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254" fillId="0" borderId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0" fontId="289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6" fillId="0" borderId="0"/>
    <xf numFmtId="0" fontId="290" fillId="0" borderId="0"/>
    <xf numFmtId="0" fontId="166" fillId="0" borderId="0"/>
    <xf numFmtId="0" fontId="165" fillId="0" borderId="0"/>
    <xf numFmtId="169" fontId="165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253" fillId="25" borderId="24" applyNumberFormat="0" applyFont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165" fillId="0" borderId="0"/>
    <xf numFmtId="0" fontId="165" fillId="0" borderId="0"/>
    <xf numFmtId="9" fontId="253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253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253" fillId="0" borderId="0"/>
    <xf numFmtId="0" fontId="165" fillId="0" borderId="0"/>
    <xf numFmtId="0" fontId="292" fillId="0" borderId="0"/>
    <xf numFmtId="169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167" fontId="253" fillId="0" borderId="0" applyFont="0" applyFill="0" applyBorder="0" applyAlignment="0" applyProtection="0"/>
    <xf numFmtId="167" fontId="253" fillId="0" borderId="0" applyFont="0" applyFill="0" applyBorder="0" applyAlignment="0" applyProtection="0"/>
    <xf numFmtId="167" fontId="253" fillId="0" borderId="0" applyFont="0" applyFill="0" applyBorder="0" applyAlignment="0" applyProtection="0"/>
    <xf numFmtId="167" fontId="253" fillId="0" borderId="0" applyFont="0" applyFill="0" applyBorder="0" applyAlignment="0" applyProtection="0"/>
    <xf numFmtId="167" fontId="253" fillId="0" borderId="0" applyFont="0" applyFill="0" applyBorder="0" applyAlignment="0" applyProtection="0"/>
    <xf numFmtId="167" fontId="292" fillId="0" borderId="0" applyFont="0" applyFill="0" applyBorder="0" applyAlignment="0" applyProtection="0"/>
    <xf numFmtId="169" fontId="253" fillId="0" borderId="0" applyFont="0" applyFill="0" applyBorder="0" applyAlignment="0" applyProtection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41" fontId="252" fillId="0" borderId="0" applyFont="0" applyFill="0" applyBorder="0" applyAlignment="0" applyProtection="0"/>
    <xf numFmtId="0" fontId="164" fillId="0" borderId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253" fillId="25" borderId="29" applyNumberFormat="0" applyFont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253" fillId="25" borderId="29" applyNumberFormat="0" applyFont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167" fontId="253" fillId="0" borderId="0" applyFont="0" applyFill="0" applyBorder="0" applyAlignment="0" applyProtection="0"/>
    <xf numFmtId="41" fontId="252" fillId="0" borderId="0" applyFont="0" applyFill="0" applyBorder="0" applyAlignment="0" applyProtection="0"/>
    <xf numFmtId="169" fontId="252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41" fontId="252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9" fontId="252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169" fontId="163" fillId="0" borderId="0" applyFont="0" applyFill="0" applyBorder="0" applyAlignment="0" applyProtection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296" fillId="0" borderId="0" applyNumberFormat="0" applyFill="0" applyBorder="0" applyAlignment="0" applyProtection="0"/>
    <xf numFmtId="0" fontId="295" fillId="0" borderId="0"/>
    <xf numFmtId="169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158" fillId="0" borderId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254" fillId="0" borderId="0"/>
    <xf numFmtId="0" fontId="254" fillId="0" borderId="0"/>
    <xf numFmtId="0" fontId="156" fillId="0" borderId="0"/>
    <xf numFmtId="0" fontId="156" fillId="0" borderId="0"/>
    <xf numFmtId="0" fontId="254" fillId="0" borderId="0"/>
    <xf numFmtId="0" fontId="156" fillId="0" borderId="0"/>
    <xf numFmtId="0" fontId="156" fillId="0" borderId="0"/>
    <xf numFmtId="169" fontId="156" fillId="0" borderId="0" applyFont="0" applyFill="0" applyBorder="0" applyAlignment="0" applyProtection="0"/>
    <xf numFmtId="0" fontId="254" fillId="0" borderId="0"/>
    <xf numFmtId="0" fontId="156" fillId="3" borderId="0" applyNumberFormat="0" applyBorder="0" applyAlignment="0" applyProtection="0"/>
    <xf numFmtId="0" fontId="155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50" fillId="0" borderId="0"/>
    <xf numFmtId="0" fontId="149" fillId="3" borderId="0" applyNumberFormat="0" applyBorder="0" applyAlignment="0" applyProtection="0"/>
    <xf numFmtId="0" fontId="149" fillId="0" borderId="0"/>
    <xf numFmtId="0" fontId="255" fillId="17" borderId="0" applyNumberFormat="0" applyBorder="0" applyAlignment="0" applyProtection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254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6" fillId="0" borderId="0"/>
    <xf numFmtId="0" fontId="298" fillId="0" borderId="0"/>
    <xf numFmtId="0" fontId="145" fillId="0" borderId="0"/>
    <xf numFmtId="0" fontId="25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0" fontId="300" fillId="0" borderId="0"/>
    <xf numFmtId="16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301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0" fontId="302" fillId="0" borderId="0"/>
    <xf numFmtId="169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254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0" fontId="131" fillId="0" borderId="0"/>
    <xf numFmtId="169" fontId="131" fillId="0" borderId="0" applyFont="0" applyFill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274" fillId="18" borderId="35" applyNumberFormat="0" applyAlignment="0" applyProtection="0"/>
    <xf numFmtId="0" fontId="278" fillId="8" borderId="35" applyNumberFormat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9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281" fillId="18" borderId="36" applyNumberFormat="0" applyAlignment="0" applyProtection="0"/>
    <xf numFmtId="169" fontId="131" fillId="0" borderId="0" applyFont="0" applyFill="0" applyBorder="0" applyAlignment="0" applyProtection="0"/>
    <xf numFmtId="0" fontId="287" fillId="0" borderId="37" applyNumberFormat="0" applyFill="0" applyAlignment="0" applyProtection="0"/>
    <xf numFmtId="169" fontId="131" fillId="0" borderId="0" applyFont="0" applyFill="0" applyBorder="0" applyAlignment="0" applyProtection="0"/>
    <xf numFmtId="0" fontId="130" fillId="0" borderId="0"/>
    <xf numFmtId="169" fontId="130" fillId="0" borderId="0" applyFont="0" applyFill="0" applyBorder="0" applyAlignment="0" applyProtection="0"/>
    <xf numFmtId="9" fontId="130" fillId="0" borderId="0" applyFont="0" applyFill="0" applyBorder="0" applyAlignment="0" applyProtection="0"/>
    <xf numFmtId="0" fontId="130" fillId="3" borderId="0" applyNumberFormat="0" applyBorder="0" applyAlignment="0" applyProtection="0"/>
    <xf numFmtId="0" fontId="253" fillId="25" borderId="32" applyNumberFormat="0" applyFont="0" applyAlignment="0" applyProtection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8" fillId="0" borderId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4" fillId="0" borderId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254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9" fontId="253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08" fillId="0" borderId="0"/>
    <xf numFmtId="0" fontId="118" fillId="0" borderId="0"/>
    <xf numFmtId="169" fontId="253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09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254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3" fillId="0" borderId="0"/>
    <xf numFmtId="0" fontId="113" fillId="0" borderId="0"/>
    <xf numFmtId="0" fontId="113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315" fillId="0" borderId="0"/>
    <xf numFmtId="0" fontId="315" fillId="0" borderId="0"/>
    <xf numFmtId="169" fontId="112" fillId="0" borderId="0" applyFont="0" applyFill="0" applyBorder="0" applyAlignment="0" applyProtection="0"/>
    <xf numFmtId="0" fontId="112" fillId="0" borderId="0"/>
    <xf numFmtId="169" fontId="111" fillId="0" borderId="0" applyFont="0" applyFill="0" applyBorder="0" applyAlignment="0" applyProtection="0"/>
    <xf numFmtId="0" fontId="111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09" fillId="0" borderId="0"/>
    <xf numFmtId="0" fontId="108" fillId="0" borderId="0"/>
    <xf numFmtId="0" fontId="108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169" fontId="252" fillId="0" borderId="0" applyFont="0" applyFill="0" applyBorder="0" applyAlignment="0" applyProtection="0"/>
    <xf numFmtId="0" fontId="252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169" fontId="323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324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206" fontId="325" fillId="0" borderId="0" applyFont="0" applyFill="0" applyBorder="0" applyAlignment="0" applyProtection="0"/>
    <xf numFmtId="191" fontId="253" fillId="0" borderId="0" applyFont="0" applyFill="0" applyBorder="0" applyAlignment="0" applyProtection="0"/>
    <xf numFmtId="167" fontId="253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253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104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253" fillId="0" borderId="0"/>
    <xf numFmtId="0" fontId="104" fillId="0" borderId="0"/>
    <xf numFmtId="0" fontId="253" fillId="0" borderId="0"/>
    <xf numFmtId="0" fontId="253" fillId="0" borderId="0"/>
    <xf numFmtId="0" fontId="253" fillId="0" borderId="0"/>
    <xf numFmtId="0" fontId="254" fillId="0" borderId="0"/>
    <xf numFmtId="0" fontId="253" fillId="0" borderId="0"/>
    <xf numFmtId="9" fontId="325" fillId="0" borderId="0" applyFont="0" applyFill="0" applyBorder="0" applyAlignment="0" applyProtection="0"/>
    <xf numFmtId="0" fontId="254" fillId="0" borderId="0"/>
    <xf numFmtId="0" fontId="326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207" fontId="253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169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253" fillId="0" borderId="0"/>
    <xf numFmtId="0" fontId="100" fillId="0" borderId="0"/>
    <xf numFmtId="0" fontId="253" fillId="0" borderId="0"/>
    <xf numFmtId="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254" fillId="0" borderId="0"/>
    <xf numFmtId="0" fontId="330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43" fontId="92" fillId="0" borderId="0" applyFont="0" applyFill="0" applyBorder="0" applyAlignment="0" applyProtection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43" fontId="91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0" fontId="253" fillId="0" borderId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169" fontId="8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253" fillId="0" borderId="0"/>
    <xf numFmtId="0" fontId="80" fillId="0" borderId="0"/>
    <xf numFmtId="43" fontId="80" fillId="0" borderId="0" applyFont="0" applyFill="0" applyBorder="0" applyAlignment="0" applyProtection="0"/>
    <xf numFmtId="169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9" fontId="76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169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9" fontId="72" fillId="0" borderId="0" applyFont="0" applyFill="0" applyBorder="0" applyAlignment="0" applyProtection="0"/>
    <xf numFmtId="0" fontId="71" fillId="0" borderId="0"/>
    <xf numFmtId="9" fontId="71" fillId="0" borderId="0" applyFont="0" applyFill="0" applyBorder="0" applyAlignment="0" applyProtection="0"/>
    <xf numFmtId="0" fontId="70" fillId="0" borderId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9" fontId="69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7" fillId="0" borderId="0"/>
    <xf numFmtId="16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65" fillId="0" borderId="0"/>
    <xf numFmtId="9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333" fillId="0" borderId="0"/>
    <xf numFmtId="169" fontId="333" fillId="0" borderId="0" applyFont="0" applyFill="0" applyBorder="0" applyAlignment="0" applyProtection="0"/>
    <xf numFmtId="0" fontId="64" fillId="0" borderId="0"/>
    <xf numFmtId="9" fontId="333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168" fontId="61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60" fillId="0" borderId="0"/>
    <xf numFmtId="9" fontId="253" fillId="0" borderId="0" applyFont="0" applyFill="0" applyBorder="0" applyAlignment="0" applyProtection="0"/>
    <xf numFmtId="43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43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164" fontId="53" fillId="0" borderId="0" applyFont="0" applyFill="0" applyBorder="0" applyAlignment="0" applyProtection="0"/>
    <xf numFmtId="43" fontId="2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16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6" fillId="0" borderId="0"/>
    <xf numFmtId="0" fontId="46" fillId="0" borderId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29" fillId="0" borderId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338" fillId="0" borderId="0" applyFont="0" applyFill="0" applyBorder="0" applyAlignment="0" applyProtection="0"/>
    <xf numFmtId="43" fontId="253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0" fontId="9" fillId="0" borderId="0"/>
    <xf numFmtId="0" fontId="338" fillId="0" borderId="0"/>
    <xf numFmtId="0" fontId="8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39" fillId="0" borderId="0"/>
    <xf numFmtId="43" fontId="339" fillId="0" borderId="0" applyFont="0" applyFill="0" applyBorder="0" applyAlignment="0" applyProtection="0"/>
    <xf numFmtId="43" fontId="253" fillId="0" borderId="0" applyFont="0" applyFill="0" applyBorder="0" applyAlignment="0" applyProtection="0"/>
    <xf numFmtId="43" fontId="253" fillId="0" borderId="0" applyFont="0" applyFill="0" applyBorder="0" applyAlignment="0" applyProtection="0"/>
    <xf numFmtId="43" fontId="253" fillId="0" borderId="0" applyFont="0" applyFill="0" applyBorder="0" applyAlignment="0" applyProtection="0"/>
    <xf numFmtId="9" fontId="339" fillId="0" borderId="0" applyFont="0" applyFill="0" applyBorder="0" applyAlignment="0" applyProtection="0"/>
    <xf numFmtId="43" fontId="339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40" fillId="0" borderId="0"/>
    <xf numFmtId="0" fontId="2" fillId="0" borderId="0"/>
    <xf numFmtId="169" fontId="2" fillId="0" borderId="0" applyFont="0" applyFill="0" applyBorder="0" applyAlignment="0" applyProtection="0"/>
  </cellStyleXfs>
  <cellXfs count="716">
    <xf numFmtId="0" fontId="0" fillId="0" borderId="0" xfId="0"/>
    <xf numFmtId="0" fontId="259" fillId="0" borderId="0" xfId="0" applyFont="1" applyAlignment="1">
      <alignment horizontal="centerContinuous" vertical="center"/>
    </xf>
    <xf numFmtId="0" fontId="260" fillId="0" borderId="0" xfId="0" applyFont="1" applyAlignment="1">
      <alignment vertical="center"/>
    </xf>
    <xf numFmtId="0" fontId="259" fillId="0" borderId="0" xfId="0" applyFont="1" applyAlignment="1">
      <alignment horizontal="center" vertical="center"/>
    </xf>
    <xf numFmtId="0" fontId="259" fillId="0" borderId="0" xfId="0" applyFont="1" applyAlignment="1">
      <alignment horizontal="right" vertical="center" wrapText="1"/>
    </xf>
    <xf numFmtId="4" fontId="259" fillId="0" borderId="0" xfId="0" applyNumberFormat="1" applyFont="1" applyAlignment="1">
      <alignment vertical="center"/>
    </xf>
    <xf numFmtId="174" fontId="259" fillId="0" borderId="0" xfId="0" applyNumberFormat="1" applyFont="1" applyAlignment="1">
      <alignment vertical="center"/>
    </xf>
    <xf numFmtId="4" fontId="259" fillId="0" borderId="0" xfId="5" applyNumberFormat="1" applyFont="1" applyFill="1" applyBorder="1" applyAlignment="1">
      <alignment vertical="center"/>
    </xf>
    <xf numFmtId="174" fontId="259" fillId="0" borderId="0" xfId="0" applyNumberFormat="1" applyFont="1" applyAlignment="1">
      <alignment horizontal="center" vertical="center"/>
    </xf>
    <xf numFmtId="49" fontId="259" fillId="0" borderId="0" xfId="0" applyNumberFormat="1" applyFont="1" applyAlignment="1">
      <alignment horizontal="centerContinuous" vertical="center"/>
    </xf>
    <xf numFmtId="176" fontId="259" fillId="0" borderId="0" xfId="0" applyNumberFormat="1" applyFont="1" applyAlignment="1">
      <alignment vertical="center"/>
    </xf>
    <xf numFmtId="0" fontId="259" fillId="0" borderId="0" xfId="4" applyFont="1" applyAlignment="1">
      <alignment vertical="center"/>
    </xf>
    <xf numFmtId="0" fontId="259" fillId="0" borderId="0" xfId="0" applyFont="1" applyAlignment="1">
      <alignment horizontal="left" vertical="center"/>
    </xf>
    <xf numFmtId="0" fontId="259" fillId="0" borderId="0" xfId="0" applyFont="1" applyAlignment="1">
      <alignment horizontal="left" vertical="center" wrapText="1"/>
    </xf>
    <xf numFmtId="176" fontId="267" fillId="0" borderId="0" xfId="0" applyNumberFormat="1" applyFont="1" applyAlignment="1">
      <alignment vertical="center"/>
    </xf>
    <xf numFmtId="49" fontId="259" fillId="0" borderId="0" xfId="0" applyNumberFormat="1" applyFont="1" applyAlignment="1">
      <alignment vertical="center"/>
    </xf>
    <xf numFmtId="170" fontId="259" fillId="0" borderId="0" xfId="1" applyNumberFormat="1" applyFont="1" applyFill="1" applyAlignment="1">
      <alignment vertical="center"/>
    </xf>
    <xf numFmtId="10" fontId="259" fillId="0" borderId="0" xfId="2" applyNumberFormat="1" applyFont="1" applyFill="1" applyAlignment="1">
      <alignment vertical="center"/>
    </xf>
    <xf numFmtId="173" fontId="259" fillId="0" borderId="0" xfId="0" applyNumberFormat="1" applyFont="1" applyAlignment="1">
      <alignment vertical="center"/>
    </xf>
    <xf numFmtId="0" fontId="259" fillId="0" borderId="0" xfId="0" applyFont="1" applyAlignment="1">
      <alignment vertical="center"/>
    </xf>
    <xf numFmtId="169" fontId="259" fillId="0" borderId="0" xfId="1" applyFont="1" applyFill="1" applyBorder="1" applyAlignment="1">
      <alignment horizontal="right" vertical="center" wrapText="1"/>
    </xf>
    <xf numFmtId="180" fontId="259" fillId="0" borderId="0" xfId="0" applyNumberFormat="1" applyFont="1" applyAlignment="1">
      <alignment vertical="center"/>
    </xf>
    <xf numFmtId="169" fontId="259" fillId="0" borderId="0" xfId="1" applyFont="1" applyFill="1" applyAlignment="1">
      <alignment vertical="center"/>
    </xf>
    <xf numFmtId="169" fontId="259" fillId="0" borderId="0" xfId="1" applyFont="1" applyFill="1" applyBorder="1" applyAlignment="1">
      <alignment vertical="center"/>
    </xf>
    <xf numFmtId="169" fontId="259" fillId="0" borderId="0" xfId="0" applyNumberFormat="1" applyFont="1" applyAlignment="1">
      <alignment vertical="center"/>
    </xf>
    <xf numFmtId="0" fontId="267" fillId="0" borderId="0" xfId="0" applyFont="1" applyAlignment="1">
      <alignment vertical="center"/>
    </xf>
    <xf numFmtId="49" fontId="267" fillId="0" borderId="0" xfId="0" applyNumberFormat="1" applyFont="1" applyAlignment="1">
      <alignment vertical="center"/>
    </xf>
    <xf numFmtId="0" fontId="267" fillId="0" borderId="0" xfId="0" applyFont="1" applyAlignment="1">
      <alignment horizontal="center" vertical="center"/>
    </xf>
    <xf numFmtId="170" fontId="259" fillId="0" borderId="0" xfId="1" applyNumberFormat="1" applyFont="1" applyFill="1" applyBorder="1" applyAlignment="1">
      <alignment vertical="center"/>
    </xf>
    <xf numFmtId="0" fontId="259" fillId="0" borderId="0" xfId="0" applyFont="1" applyAlignment="1">
      <alignment vertical="center" wrapText="1"/>
    </xf>
    <xf numFmtId="4" fontId="259" fillId="0" borderId="0" xfId="0" applyNumberFormat="1" applyFont="1" applyAlignment="1">
      <alignment horizontal="center" vertical="center"/>
    </xf>
    <xf numFmtId="177" fontId="259" fillId="0" borderId="0" xfId="0" applyNumberFormat="1" applyFont="1" applyAlignment="1">
      <alignment horizontal="left" vertical="center"/>
    </xf>
    <xf numFmtId="3" fontId="267" fillId="0" borderId="0" xfId="1" applyNumberFormat="1" applyFont="1" applyFill="1" applyBorder="1" applyAlignment="1">
      <alignment horizontal="left" vertical="center" wrapText="1"/>
    </xf>
    <xf numFmtId="0" fontId="267" fillId="0" borderId="1" xfId="0" applyFont="1" applyBorder="1" applyAlignment="1">
      <alignment horizontal="centerContinuous" vertical="center"/>
    </xf>
    <xf numFmtId="49" fontId="259" fillId="0" borderId="0" xfId="0" applyNumberFormat="1" applyFont="1" applyAlignment="1">
      <alignment horizontal="center" vertical="center" wrapText="1"/>
    </xf>
    <xf numFmtId="0" fontId="267" fillId="0" borderId="1" xfId="0" applyFont="1" applyBorder="1" applyAlignment="1">
      <alignment horizontal="center" vertical="center" wrapText="1"/>
    </xf>
    <xf numFmtId="0" fontId="259" fillId="0" borderId="0" xfId="0" applyFont="1" applyAlignment="1">
      <alignment horizontal="center" vertical="center" wrapText="1"/>
    </xf>
    <xf numFmtId="178" fontId="259" fillId="0" borderId="0" xfId="0" applyNumberFormat="1" applyFont="1" applyAlignment="1">
      <alignment horizontal="center" vertical="center"/>
    </xf>
    <xf numFmtId="178" fontId="267" fillId="0" borderId="1" xfId="0" applyNumberFormat="1" applyFont="1" applyBorder="1" applyAlignment="1">
      <alignment horizontal="centerContinuous" vertical="center"/>
    </xf>
    <xf numFmtId="0" fontId="259" fillId="0" borderId="0" xfId="0" applyFont="1"/>
    <xf numFmtId="195" fontId="259" fillId="0" borderId="0" xfId="5" applyNumberFormat="1" applyFont="1" applyFill="1" applyAlignment="1">
      <alignment vertical="center" wrapText="1"/>
    </xf>
    <xf numFmtId="49" fontId="259" fillId="0" borderId="0" xfId="0" applyNumberFormat="1" applyFont="1" applyAlignment="1">
      <alignment vertical="center" wrapText="1"/>
    </xf>
    <xf numFmtId="177" fontId="259" fillId="0" borderId="0" xfId="0" applyNumberFormat="1" applyFont="1" applyAlignment="1">
      <alignment horizontal="center" vertical="center" wrapText="1"/>
    </xf>
    <xf numFmtId="169" fontId="259" fillId="0" borderId="0" xfId="1" applyFont="1" applyFill="1" applyAlignment="1">
      <alignment horizontal="center" vertical="center" wrapText="1"/>
    </xf>
    <xf numFmtId="173" fontId="259" fillId="0" borderId="0" xfId="0" applyNumberFormat="1" applyFont="1" applyAlignment="1">
      <alignment horizontal="center" vertical="center"/>
    </xf>
    <xf numFmtId="49" fontId="267" fillId="0" borderId="0" xfId="0" applyNumberFormat="1" applyFont="1" applyAlignment="1">
      <alignment horizontal="center" vertical="center" wrapText="1"/>
    </xf>
    <xf numFmtId="49" fontId="259" fillId="0" borderId="0" xfId="0" applyNumberFormat="1" applyFont="1" applyAlignment="1">
      <alignment horizontal="center" vertical="center"/>
    </xf>
    <xf numFmtId="168" fontId="259" fillId="0" borderId="0" xfId="0" applyNumberFormat="1" applyFont="1" applyAlignment="1">
      <alignment horizontal="center" vertical="center"/>
    </xf>
    <xf numFmtId="0" fontId="291" fillId="0" borderId="0" xfId="4" applyFont="1" applyAlignment="1">
      <alignment vertical="center" wrapText="1"/>
    </xf>
    <xf numFmtId="4" fontId="259" fillId="0" borderId="0" xfId="0" applyNumberFormat="1" applyFont="1" applyAlignment="1">
      <alignment vertical="center" wrapText="1"/>
    </xf>
    <xf numFmtId="0" fontId="259" fillId="0" borderId="0" xfId="0" applyFont="1" applyProtection="1">
      <protection hidden="1"/>
    </xf>
    <xf numFmtId="0" fontId="259" fillId="0" borderId="30" xfId="0" applyFont="1" applyBorder="1"/>
    <xf numFmtId="173" fontId="259" fillId="0" borderId="0" xfId="26" applyNumberFormat="1" applyFont="1" applyAlignment="1">
      <alignment horizontal="center" vertical="center" wrapText="1"/>
    </xf>
    <xf numFmtId="199" fontId="259" fillId="0" borderId="0" xfId="1" applyNumberFormat="1" applyFont="1" applyFill="1" applyAlignment="1">
      <alignment vertical="center"/>
    </xf>
    <xf numFmtId="0" fontId="260" fillId="2" borderId="0" xfId="0" applyFont="1" applyFill="1" applyAlignment="1">
      <alignment vertical="center"/>
    </xf>
    <xf numFmtId="195" fontId="259" fillId="0" borderId="0" xfId="0" applyNumberFormat="1" applyFont="1" applyAlignment="1">
      <alignment horizontal="center" vertical="center"/>
    </xf>
    <xf numFmtId="198" fontId="259" fillId="0" borderId="0" xfId="0" applyNumberFormat="1" applyFont="1" applyAlignment="1">
      <alignment vertical="center"/>
    </xf>
    <xf numFmtId="169" fontId="259" fillId="0" borderId="0" xfId="1" applyFont="1" applyFill="1" applyAlignment="1">
      <alignment horizontal="centerContinuous" vertical="center"/>
    </xf>
    <xf numFmtId="192" fontId="259" fillId="0" borderId="0" xfId="1" applyNumberFormat="1" applyFont="1" applyFill="1" applyAlignment="1">
      <alignment vertical="center"/>
    </xf>
    <xf numFmtId="174" fontId="259" fillId="0" borderId="0" xfId="2" applyNumberFormat="1" applyFont="1" applyFill="1" applyAlignment="1">
      <alignment horizontal="left" vertical="center"/>
    </xf>
    <xf numFmtId="195" fontId="259" fillId="0" borderId="0" xfId="0" applyNumberFormat="1" applyFont="1" applyAlignment="1">
      <alignment horizontal="left" vertical="center"/>
    </xf>
    <xf numFmtId="9" fontId="259" fillId="0" borderId="0" xfId="2" applyFont="1" applyFill="1" applyAlignment="1">
      <alignment vertical="center"/>
    </xf>
    <xf numFmtId="3" fontId="259" fillId="0" borderId="0" xfId="4" applyNumberFormat="1" applyFont="1" applyAlignment="1">
      <alignment horizontal="left" vertical="center"/>
    </xf>
    <xf numFmtId="177" fontId="259" fillId="0" borderId="0" xfId="0" applyNumberFormat="1" applyFont="1" applyAlignment="1">
      <alignment vertical="center"/>
    </xf>
    <xf numFmtId="3" fontId="259" fillId="0" borderId="0" xfId="0" applyNumberFormat="1" applyFont="1" applyAlignment="1">
      <alignment horizontal="left" vertical="center"/>
    </xf>
    <xf numFmtId="2" fontId="259" fillId="0" borderId="0" xfId="0" applyNumberFormat="1" applyFont="1" applyAlignment="1">
      <alignment vertical="center"/>
    </xf>
    <xf numFmtId="180" fontId="259" fillId="0" borderId="1" xfId="0" applyNumberFormat="1" applyFont="1" applyBorder="1" applyAlignment="1">
      <alignment horizontal="center" vertical="center" wrapText="1"/>
    </xf>
    <xf numFmtId="169" fontId="259" fillId="0" borderId="0" xfId="1" applyFont="1" applyFill="1" applyAlignment="1">
      <alignment vertical="center" wrapText="1"/>
    </xf>
    <xf numFmtId="1" fontId="259" fillId="0" borderId="0" xfId="0" applyNumberFormat="1" applyFont="1" applyAlignment="1">
      <alignment vertical="center"/>
    </xf>
    <xf numFmtId="0" fontId="267" fillId="0" borderId="0" xfId="0" applyFont="1" applyAlignment="1">
      <alignment horizontal="right" vertical="center"/>
    </xf>
    <xf numFmtId="169" fontId="267" fillId="0" borderId="0" xfId="1" applyFont="1" applyFill="1" applyBorder="1" applyAlignment="1">
      <alignment vertical="center"/>
    </xf>
    <xf numFmtId="169" fontId="259" fillId="0" borderId="0" xfId="0" applyNumberFormat="1" applyFont="1" applyAlignment="1">
      <alignment horizontal="center" vertical="center"/>
    </xf>
    <xf numFmtId="169" fontId="259" fillId="0" borderId="0" xfId="0" applyNumberFormat="1" applyFont="1" applyAlignment="1">
      <alignment horizontal="left" vertical="center"/>
    </xf>
    <xf numFmtId="2" fontId="259" fillId="0" borderId="0" xfId="0" applyNumberFormat="1" applyFont="1" applyAlignment="1">
      <alignment horizontal="left" vertical="center" indent="3"/>
    </xf>
    <xf numFmtId="181" fontId="259" fillId="0" borderId="0" xfId="0" applyNumberFormat="1" applyFont="1" applyAlignment="1">
      <alignment vertical="center"/>
    </xf>
    <xf numFmtId="168" fontId="259" fillId="0" borderId="0" xfId="0" applyNumberFormat="1" applyFont="1" applyAlignment="1">
      <alignment horizontal="center" vertical="center" wrapText="1"/>
    </xf>
    <xf numFmtId="176" fontId="267" fillId="0" borderId="0" xfId="0" applyNumberFormat="1" applyFont="1" applyAlignment="1">
      <alignment horizontal="center" vertical="center" wrapText="1"/>
    </xf>
    <xf numFmtId="176" fontId="267" fillId="0" borderId="0" xfId="0" applyNumberFormat="1" applyFont="1" applyAlignment="1">
      <alignment horizontal="left" vertical="center"/>
    </xf>
    <xf numFmtId="179" fontId="267" fillId="0" borderId="0" xfId="0" applyNumberFormat="1" applyFont="1" applyAlignment="1">
      <alignment horizontal="left" vertical="center"/>
    </xf>
    <xf numFmtId="179" fontId="267" fillId="0" borderId="0" xfId="0" applyNumberFormat="1" applyFont="1" applyAlignment="1">
      <alignment vertical="center"/>
    </xf>
    <xf numFmtId="167" fontId="267" fillId="0" borderId="0" xfId="0" applyNumberFormat="1" applyFont="1" applyAlignment="1">
      <alignment vertical="center"/>
    </xf>
    <xf numFmtId="167" fontId="267" fillId="0" borderId="0" xfId="0" applyNumberFormat="1" applyFont="1" applyAlignment="1">
      <alignment horizontal="left" vertical="center"/>
    </xf>
    <xf numFmtId="174" fontId="259" fillId="0" borderId="0" xfId="0" applyNumberFormat="1" applyFont="1" applyAlignment="1">
      <alignment vertical="center" wrapText="1"/>
    </xf>
    <xf numFmtId="0" fontId="267" fillId="0" borderId="0" xfId="0" applyFont="1" applyAlignment="1">
      <alignment horizontal="left" vertical="center"/>
    </xf>
    <xf numFmtId="0" fontId="267" fillId="0" borderId="1" xfId="35071" applyFont="1" applyBorder="1" applyAlignment="1">
      <alignment vertical="center"/>
    </xf>
    <xf numFmtId="0" fontId="259" fillId="0" borderId="1" xfId="35071" applyFont="1" applyBorder="1" applyAlignment="1">
      <alignment vertical="center"/>
    </xf>
    <xf numFmtId="0" fontId="259" fillId="0" borderId="0" xfId="35066" applyFont="1" applyAlignment="1">
      <alignment horizontal="center"/>
    </xf>
    <xf numFmtId="0" fontId="259" fillId="0" borderId="0" xfId="35066" applyFont="1" applyAlignment="1">
      <alignment horizontal="right" wrapText="1"/>
    </xf>
    <xf numFmtId="0" fontId="259" fillId="0" borderId="0" xfId="35072" applyFont="1"/>
    <xf numFmtId="169" fontId="259" fillId="0" borderId="0" xfId="35073" applyFont="1" applyFill="1"/>
    <xf numFmtId="0" fontId="259" fillId="0" borderId="0" xfId="35072" applyFont="1" applyAlignment="1">
      <alignment horizontal="center"/>
    </xf>
    <xf numFmtId="0" fontId="259" fillId="0" borderId="0" xfId="35075" applyFont="1" applyFill="1" applyBorder="1" applyAlignment="1">
      <alignment horizontal="center" vertical="center" wrapText="1"/>
    </xf>
    <xf numFmtId="168" fontId="259" fillId="0" borderId="0" xfId="35075" applyNumberFormat="1" applyFont="1" applyFill="1" applyAlignment="1">
      <alignment vertical="center"/>
    </xf>
    <xf numFmtId="168" fontId="259" fillId="0" borderId="0" xfId="35075" applyNumberFormat="1" applyFont="1" applyFill="1" applyAlignment="1">
      <alignment horizontal="center" vertical="center" wrapText="1"/>
    </xf>
    <xf numFmtId="180" fontId="259" fillId="0" borderId="0" xfId="35075" applyNumberFormat="1" applyFont="1" applyFill="1" applyBorder="1" applyAlignment="1">
      <alignment horizontal="center" vertical="center" wrapText="1"/>
    </xf>
    <xf numFmtId="168" fontId="259" fillId="0" borderId="0" xfId="35075" applyNumberFormat="1" applyFont="1" applyFill="1" applyBorder="1" applyAlignment="1">
      <alignment horizontal="center" vertical="center" wrapText="1"/>
    </xf>
    <xf numFmtId="176" fontId="267" fillId="0" borderId="28" xfId="0" applyNumberFormat="1" applyFont="1" applyBorder="1" applyAlignment="1">
      <alignment horizontal="center" vertical="center" wrapText="1"/>
    </xf>
    <xf numFmtId="199" fontId="259" fillId="0" borderId="0" xfId="1" applyNumberFormat="1" applyFont="1" applyFill="1" applyAlignment="1">
      <alignment horizontal="center" vertical="center" wrapText="1"/>
    </xf>
    <xf numFmtId="0" fontId="149" fillId="0" borderId="0" xfId="35087" applyFill="1" applyAlignment="1">
      <alignment vertical="center"/>
    </xf>
    <xf numFmtId="168" fontId="260" fillId="0" borderId="0" xfId="35087" applyNumberFormat="1" applyFont="1" applyFill="1" applyAlignment="1">
      <alignment vertical="center"/>
    </xf>
    <xf numFmtId="0" fontId="260" fillId="0" borderId="0" xfId="35087" applyFont="1" applyFill="1" applyAlignment="1">
      <alignment vertical="center"/>
    </xf>
    <xf numFmtId="180" fontId="260" fillId="0" borderId="0" xfId="35087" applyNumberFormat="1" applyFont="1" applyFill="1" applyBorder="1" applyAlignment="1">
      <alignment vertical="center"/>
    </xf>
    <xf numFmtId="196" fontId="260" fillId="0" borderId="0" xfId="35087" applyNumberFormat="1" applyFont="1" applyFill="1" applyAlignment="1">
      <alignment vertical="center"/>
    </xf>
    <xf numFmtId="173" fontId="149" fillId="0" borderId="0" xfId="35087" applyNumberFormat="1" applyFill="1" applyAlignment="1">
      <alignment vertical="center"/>
    </xf>
    <xf numFmtId="0" fontId="149" fillId="0" borderId="0" xfId="35088"/>
    <xf numFmtId="176" fontId="149" fillId="0" borderId="0" xfId="35088" applyNumberFormat="1" applyAlignment="1">
      <alignment vertical="center"/>
    </xf>
    <xf numFmtId="0" fontId="297" fillId="0" borderId="0" xfId="35088" applyFont="1" applyAlignment="1">
      <alignment vertical="center"/>
    </xf>
    <xf numFmtId="0" fontId="261" fillId="0" borderId="0" xfId="35087" applyFont="1" applyFill="1" applyAlignment="1">
      <alignment vertical="center"/>
    </xf>
    <xf numFmtId="0" fontId="255" fillId="27" borderId="13" xfId="35094" applyFont="1" applyFill="1" applyBorder="1" applyAlignment="1">
      <alignment horizontal="center"/>
    </xf>
    <xf numFmtId="0" fontId="255" fillId="0" borderId="29" xfId="35094" applyFont="1" applyBorder="1" applyAlignment="1">
      <alignment wrapText="1"/>
    </xf>
    <xf numFmtId="0" fontId="255" fillId="0" borderId="29" xfId="35094" applyFont="1" applyBorder="1" applyAlignment="1">
      <alignment horizontal="right" wrapText="1"/>
    </xf>
    <xf numFmtId="1" fontId="259" fillId="0" borderId="0" xfId="0" applyNumberFormat="1" applyFont="1" applyAlignment="1">
      <alignment horizontal="center" vertical="center"/>
    </xf>
    <xf numFmtId="1" fontId="262" fillId="26" borderId="1" xfId="0" applyNumberFormat="1" applyFont="1" applyFill="1" applyBorder="1" applyAlignment="1">
      <alignment horizontal="center" vertical="center" wrapText="1"/>
    </xf>
    <xf numFmtId="200" fontId="262" fillId="26" borderId="1" xfId="0" applyNumberFormat="1" applyFont="1" applyFill="1" applyBorder="1" applyAlignment="1">
      <alignment horizontal="center" vertical="center" wrapText="1"/>
    </xf>
    <xf numFmtId="199" fontId="262" fillId="26" borderId="1" xfId="0" applyNumberFormat="1" applyFont="1" applyFill="1" applyBorder="1" applyAlignment="1">
      <alignment horizontal="center" vertical="center" wrapText="1"/>
    </xf>
    <xf numFmtId="200" fontId="259" fillId="0" borderId="0" xfId="0" applyNumberFormat="1" applyFont="1" applyAlignment="1">
      <alignment vertical="center"/>
    </xf>
    <xf numFmtId="180" fontId="267" fillId="0" borderId="0" xfId="0" applyNumberFormat="1" applyFont="1" applyAlignment="1">
      <alignment vertical="center"/>
    </xf>
    <xf numFmtId="195" fontId="259" fillId="0" borderId="0" xfId="0" applyNumberFormat="1" applyFont="1" applyAlignment="1">
      <alignment vertical="center"/>
    </xf>
    <xf numFmtId="1" fontId="259" fillId="0" borderId="0" xfId="0" applyNumberFormat="1" applyFont="1" applyAlignment="1">
      <alignment vertical="center" wrapText="1"/>
    </xf>
    <xf numFmtId="9" fontId="259" fillId="0" borderId="0" xfId="2" applyFont="1" applyFill="1" applyAlignment="1">
      <alignment horizontal="center" vertical="center" wrapText="1"/>
    </xf>
    <xf numFmtId="0" fontId="267" fillId="0" borderId="10" xfId="0" applyFont="1" applyBorder="1" applyAlignment="1">
      <alignment horizontal="justify" vertical="center"/>
    </xf>
    <xf numFmtId="9" fontId="259" fillId="0" borderId="0" xfId="2" applyFont="1" applyFill="1" applyAlignment="1">
      <alignment horizontal="center" vertical="center"/>
    </xf>
    <xf numFmtId="0" fontId="267" fillId="2" borderId="0" xfId="0" applyFont="1" applyFill="1" applyAlignment="1">
      <alignment vertical="center"/>
    </xf>
    <xf numFmtId="0" fontId="299" fillId="28" borderId="8" xfId="0" applyFont="1" applyFill="1" applyBorder="1"/>
    <xf numFmtId="180" fontId="267" fillId="0" borderId="10" xfId="0" applyNumberFormat="1" applyFont="1" applyBorder="1" applyAlignment="1">
      <alignment horizontal="center" vertical="center" wrapText="1"/>
    </xf>
    <xf numFmtId="0" fontId="262" fillId="2" borderId="0" xfId="26" applyFont="1" applyFill="1" applyAlignment="1">
      <alignment horizontal="center" vertical="center"/>
    </xf>
    <xf numFmtId="169" fontId="262" fillId="2" borderId="0" xfId="17578" applyFont="1" applyFill="1" applyBorder="1" applyAlignment="1">
      <alignment horizontal="center" vertical="center"/>
    </xf>
    <xf numFmtId="0" fontId="267" fillId="0" borderId="0" xfId="26" applyFont="1" applyAlignment="1">
      <alignment horizontal="center" vertical="center" wrapText="1"/>
    </xf>
    <xf numFmtId="169" fontId="267" fillId="0" borderId="0" xfId="17578" applyFont="1" applyFill="1" applyBorder="1" applyAlignment="1">
      <alignment horizontal="center" vertical="center" wrapText="1"/>
    </xf>
    <xf numFmtId="1" fontId="258" fillId="0" borderId="0" xfId="26" applyNumberFormat="1" applyFont="1" applyAlignment="1">
      <alignment horizontal="center" vertical="center" wrapText="1"/>
    </xf>
    <xf numFmtId="165" fontId="258" fillId="0" borderId="0" xfId="26" applyNumberFormat="1" applyFont="1" applyAlignment="1">
      <alignment horizontal="center" vertical="center" wrapText="1"/>
    </xf>
    <xf numFmtId="173" fontId="258" fillId="0" borderId="0" xfId="26" applyNumberFormat="1" applyFont="1" applyAlignment="1">
      <alignment horizontal="center" vertical="center" wrapText="1"/>
    </xf>
    <xf numFmtId="1" fontId="259" fillId="0" borderId="0" xfId="0" applyNumberFormat="1" applyFont="1" applyAlignment="1">
      <alignment horizontal="center" vertical="center" wrapText="1"/>
    </xf>
    <xf numFmtId="165" fontId="258" fillId="0" borderId="34" xfId="26" applyNumberFormat="1" applyFont="1" applyBorder="1" applyAlignment="1">
      <alignment horizontal="center" vertical="center" wrapText="1"/>
    </xf>
    <xf numFmtId="1" fontId="258" fillId="0" borderId="1" xfId="26" applyNumberFormat="1" applyFont="1" applyBorder="1" applyAlignment="1">
      <alignment horizontal="center" vertical="center" wrapText="1"/>
    </xf>
    <xf numFmtId="165" fontId="258" fillId="0" borderId="1" xfId="26" applyNumberFormat="1" applyFont="1" applyBorder="1" applyAlignment="1">
      <alignment horizontal="center" vertical="center" wrapText="1"/>
    </xf>
    <xf numFmtId="173" fontId="258" fillId="0" borderId="1" xfId="26" applyNumberFormat="1" applyFont="1" applyBorder="1" applyAlignment="1">
      <alignment horizontal="center" vertical="center" wrapText="1"/>
    </xf>
    <xf numFmtId="40" fontId="259" fillId="0" borderId="0" xfId="4447" applyNumberFormat="1" applyFont="1" applyAlignment="1">
      <alignment horizontal="center"/>
    </xf>
    <xf numFmtId="180" fontId="267" fillId="0" borderId="0" xfId="0" applyNumberFormat="1" applyFont="1" applyAlignment="1">
      <alignment horizontal="center" vertical="center" wrapText="1"/>
    </xf>
    <xf numFmtId="203" fontId="259" fillId="0" borderId="0" xfId="0" applyNumberFormat="1" applyFont="1" applyAlignment="1">
      <alignment vertical="center"/>
    </xf>
    <xf numFmtId="0" fontId="267" fillId="0" borderId="0" xfId="77" applyFont="1" applyAlignment="1">
      <alignment horizontal="center" vertical="center" wrapText="1"/>
    </xf>
    <xf numFmtId="169" fontId="267" fillId="0" borderId="0" xfId="0" applyNumberFormat="1" applyFont="1" applyAlignment="1">
      <alignment horizontal="center" vertical="center"/>
    </xf>
    <xf numFmtId="2" fontId="267" fillId="0" borderId="0" xfId="0" applyNumberFormat="1" applyFont="1" applyAlignment="1">
      <alignment horizontal="center" vertical="center"/>
    </xf>
    <xf numFmtId="3" fontId="262" fillId="26" borderId="1" xfId="0" applyNumberFormat="1" applyFont="1" applyFill="1" applyBorder="1" applyAlignment="1">
      <alignment horizontal="center" vertical="center" wrapText="1"/>
    </xf>
    <xf numFmtId="204" fontId="259" fillId="0" borderId="1" xfId="0" applyNumberFormat="1" applyFont="1" applyBorder="1" applyAlignment="1">
      <alignment horizontal="center" vertical="center" wrapText="1"/>
    </xf>
    <xf numFmtId="0" fontId="267" fillId="0" borderId="4" xfId="0" applyFont="1" applyBorder="1" applyAlignment="1">
      <alignment horizontal="center" vertical="center" wrapText="1"/>
    </xf>
    <xf numFmtId="178" fontId="267" fillId="0" borderId="12" xfId="0" applyNumberFormat="1" applyFont="1" applyBorder="1" applyAlignment="1">
      <alignment horizontal="center" vertical="center"/>
    </xf>
    <xf numFmtId="165" fontId="258" fillId="0" borderId="42" xfId="26" applyNumberFormat="1" applyFont="1" applyBorder="1" applyAlignment="1">
      <alignment horizontal="center" vertical="center" wrapText="1"/>
    </xf>
    <xf numFmtId="0" fontId="253" fillId="0" borderId="0" xfId="0" applyFont="1" applyAlignment="1">
      <alignment horizontal="center" vertical="center" wrapText="1"/>
    </xf>
    <xf numFmtId="169" fontId="253" fillId="0" borderId="0" xfId="1" applyFont="1" applyFill="1" applyAlignment="1">
      <alignment horizontal="center" vertical="center" wrapText="1"/>
    </xf>
    <xf numFmtId="0" fontId="267" fillId="0" borderId="1" xfId="0" applyFont="1" applyBorder="1" applyAlignment="1">
      <alignment horizontal="center" vertical="center"/>
    </xf>
    <xf numFmtId="0" fontId="253" fillId="0" borderId="0" xfId="0" applyFont="1" applyAlignment="1">
      <alignment vertical="center"/>
    </xf>
    <xf numFmtId="4" fontId="253" fillId="0" borderId="0" xfId="0" applyNumberFormat="1" applyFont="1" applyAlignment="1">
      <alignment vertical="center"/>
    </xf>
    <xf numFmtId="0" fontId="253" fillId="0" borderId="0" xfId="0" applyFont="1" applyAlignment="1">
      <alignment horizontal="center" vertical="center"/>
    </xf>
    <xf numFmtId="0" fontId="253" fillId="2" borderId="0" xfId="0" applyFont="1" applyFill="1" applyAlignment="1">
      <alignment vertical="center"/>
    </xf>
    <xf numFmtId="169" fontId="253" fillId="2" borderId="0" xfId="1" applyFont="1" applyFill="1" applyAlignment="1">
      <alignment vertical="center"/>
    </xf>
    <xf numFmtId="49" fontId="293" fillId="0" borderId="9" xfId="0" applyNumberFormat="1" applyFont="1" applyBorder="1" applyAlignment="1">
      <alignment horizontal="center" vertical="center" wrapText="1"/>
    </xf>
    <xf numFmtId="0" fontId="253" fillId="0" borderId="0" xfId="0" applyFont="1"/>
    <xf numFmtId="49" fontId="293" fillId="0" borderId="30" xfId="0" applyNumberFormat="1" applyFont="1" applyBorder="1" applyAlignment="1">
      <alignment horizontal="center" vertical="center" wrapText="1"/>
    </xf>
    <xf numFmtId="0" fontId="253" fillId="0" borderId="30" xfId="0" applyFont="1" applyBorder="1"/>
    <xf numFmtId="49" fontId="293" fillId="0" borderId="8" xfId="0" applyNumberFormat="1" applyFont="1" applyBorder="1" applyAlignment="1">
      <alignment horizontal="center" vertical="center" wrapText="1"/>
    </xf>
    <xf numFmtId="9" fontId="259" fillId="0" borderId="0" xfId="2" applyFont="1" applyFill="1" applyAlignment="1">
      <alignment horizontal="left" vertical="center"/>
    </xf>
    <xf numFmtId="0" fontId="291" fillId="0" borderId="0" xfId="4" applyFont="1" applyAlignment="1">
      <alignment horizontal="left" vertical="center" wrapText="1"/>
    </xf>
    <xf numFmtId="169" fontId="253" fillId="0" borderId="0" xfId="1" applyFont="1" applyFill="1" applyAlignment="1">
      <alignment vertical="center"/>
    </xf>
    <xf numFmtId="171" fontId="253" fillId="0" borderId="0" xfId="0" applyNumberFormat="1" applyFont="1" applyAlignment="1">
      <alignment vertical="center"/>
    </xf>
    <xf numFmtId="169" fontId="253" fillId="0" borderId="29" xfId="1" applyFont="1" applyFill="1" applyBorder="1" applyAlignment="1">
      <alignment horizontal="right" vertical="center" wrapText="1"/>
    </xf>
    <xf numFmtId="10" fontId="253" fillId="0" borderId="0" xfId="2" applyNumberFormat="1" applyFont="1" applyFill="1" applyAlignment="1">
      <alignment vertical="center"/>
    </xf>
    <xf numFmtId="10" fontId="253" fillId="0" borderId="0" xfId="1" applyNumberFormat="1" applyFont="1" applyFill="1" applyAlignment="1">
      <alignment vertical="center"/>
    </xf>
    <xf numFmtId="0" fontId="253" fillId="0" borderId="25" xfId="0" applyFont="1" applyBorder="1" applyAlignment="1">
      <alignment vertical="center"/>
    </xf>
    <xf numFmtId="171" fontId="293" fillId="0" borderId="25" xfId="1" applyNumberFormat="1" applyFont="1" applyFill="1" applyBorder="1" applyAlignment="1">
      <alignment vertical="center"/>
    </xf>
    <xf numFmtId="169" fontId="293" fillId="0" borderId="25" xfId="1" applyFont="1" applyFill="1" applyBorder="1" applyAlignment="1">
      <alignment vertical="center"/>
    </xf>
    <xf numFmtId="3" fontId="253" fillId="0" borderId="0" xfId="0" applyNumberFormat="1" applyFont="1" applyAlignment="1">
      <alignment vertical="center"/>
    </xf>
    <xf numFmtId="194" fontId="253" fillId="0" borderId="0" xfId="77" applyNumberFormat="1" applyFont="1" applyAlignment="1">
      <alignment horizontal="right" vertical="center"/>
    </xf>
    <xf numFmtId="174" fontId="253" fillId="0" borderId="0" xfId="2" applyNumberFormat="1" applyFont="1" applyFill="1" applyAlignment="1">
      <alignment vertical="center"/>
    </xf>
    <xf numFmtId="174" fontId="253" fillId="0" borderId="0" xfId="1" applyNumberFormat="1" applyFont="1" applyFill="1" applyAlignment="1">
      <alignment vertical="center"/>
    </xf>
    <xf numFmtId="0" fontId="253" fillId="0" borderId="0" xfId="43911" applyFont="1"/>
    <xf numFmtId="37" fontId="253" fillId="0" borderId="0" xfId="43914" applyNumberFormat="1" applyFont="1"/>
    <xf numFmtId="169" fontId="253" fillId="0" borderId="0" xfId="43914" applyFont="1"/>
    <xf numFmtId="9" fontId="253" fillId="0" borderId="0" xfId="2" applyFont="1" applyFill="1" applyAlignment="1">
      <alignment vertical="center"/>
    </xf>
    <xf numFmtId="0" fontId="253" fillId="0" borderId="0" xfId="77" applyFont="1" applyAlignment="1">
      <alignment horizontal="left" vertical="center"/>
    </xf>
    <xf numFmtId="193" fontId="253" fillId="0" borderId="0" xfId="77" applyNumberFormat="1" applyFont="1" applyAlignment="1">
      <alignment horizontal="right" vertical="center"/>
    </xf>
    <xf numFmtId="0" fontId="253" fillId="0" borderId="0" xfId="35070" applyFont="1" applyAlignment="1">
      <alignment horizontal="center" vertical="center"/>
    </xf>
    <xf numFmtId="169" fontId="253" fillId="0" borderId="0" xfId="1" applyFont="1" applyFill="1" applyBorder="1" applyAlignment="1">
      <alignment vertical="center"/>
    </xf>
    <xf numFmtId="173" fontId="253" fillId="0" borderId="0" xfId="0" applyNumberFormat="1" applyFont="1" applyAlignment="1">
      <alignment vertical="center"/>
    </xf>
    <xf numFmtId="180" fontId="253" fillId="0" borderId="0" xfId="0" applyNumberFormat="1" applyFont="1" applyAlignment="1">
      <alignment vertical="center"/>
    </xf>
    <xf numFmtId="173" fontId="253" fillId="0" borderId="1" xfId="0" applyNumberFormat="1" applyFont="1" applyBorder="1" applyAlignment="1">
      <alignment vertical="center"/>
    </xf>
    <xf numFmtId="169" fontId="253" fillId="0" borderId="1" xfId="1" applyFont="1" applyFill="1" applyBorder="1" applyAlignment="1">
      <alignment vertical="center"/>
    </xf>
    <xf numFmtId="173" fontId="253" fillId="0" borderId="1" xfId="0" applyNumberFormat="1" applyFont="1" applyBorder="1" applyAlignment="1">
      <alignment horizontal="center" vertical="center" wrapText="1"/>
    </xf>
    <xf numFmtId="174" fontId="253" fillId="0" borderId="0" xfId="2" applyNumberFormat="1" applyFont="1" applyFill="1" applyAlignment="1">
      <alignment horizontal="center" vertical="center" wrapText="1"/>
    </xf>
    <xf numFmtId="169" fontId="253" fillId="0" borderId="1" xfId="1" applyFont="1" applyFill="1" applyBorder="1" applyAlignment="1">
      <alignment horizontal="center" vertical="center" wrapText="1"/>
    </xf>
    <xf numFmtId="169" fontId="253" fillId="0" borderId="0" xfId="1" applyFont="1" applyFill="1"/>
    <xf numFmtId="0" fontId="253" fillId="0" borderId="0" xfId="4452" applyFont="1" applyAlignment="1">
      <alignment horizontal="center"/>
    </xf>
    <xf numFmtId="0" fontId="311" fillId="2" borderId="0" xfId="26" applyFont="1" applyFill="1" applyAlignment="1">
      <alignment horizontal="center" vertical="center" wrapText="1"/>
    </xf>
    <xf numFmtId="0" fontId="299" fillId="2" borderId="0" xfId="26" applyFont="1" applyFill="1" applyAlignment="1">
      <alignment horizontal="center" vertical="center"/>
    </xf>
    <xf numFmtId="169" fontId="299" fillId="2" borderId="0" xfId="17578" applyFont="1" applyFill="1" applyBorder="1" applyAlignment="1">
      <alignment horizontal="center" vertical="center"/>
    </xf>
    <xf numFmtId="0" fontId="299" fillId="2" borderId="0" xfId="26" applyFont="1" applyFill="1" applyAlignment="1">
      <alignment horizontal="center" vertical="center" wrapText="1"/>
    </xf>
    <xf numFmtId="1" fontId="252" fillId="0" borderId="0" xfId="26" applyNumberFormat="1" applyAlignment="1">
      <alignment horizontal="center" vertical="center" wrapText="1"/>
    </xf>
    <xf numFmtId="165" fontId="252" fillId="0" borderId="0" xfId="26" applyNumberFormat="1" applyAlignment="1">
      <alignment horizontal="center" vertical="center" wrapText="1"/>
    </xf>
    <xf numFmtId="0" fontId="253" fillId="0" borderId="0" xfId="0" applyFont="1" applyAlignment="1">
      <alignment horizontal="left" vertical="center" wrapText="1"/>
    </xf>
    <xf numFmtId="0" fontId="253" fillId="0" borderId="0" xfId="35071" applyFont="1" applyAlignment="1">
      <alignment vertical="center"/>
    </xf>
    <xf numFmtId="0" fontId="293" fillId="0" borderId="1" xfId="35071" applyFont="1" applyBorder="1" applyAlignment="1">
      <alignment vertical="center"/>
    </xf>
    <xf numFmtId="0" fontId="293" fillId="0" borderId="1" xfId="0" applyFont="1" applyBorder="1" applyAlignment="1">
      <alignment horizontal="center" vertical="center"/>
    </xf>
    <xf numFmtId="0" fontId="253" fillId="0" borderId="1" xfId="35071" applyFont="1" applyBorder="1" applyAlignment="1">
      <alignment vertical="center"/>
    </xf>
    <xf numFmtId="171" fontId="253" fillId="0" borderId="1" xfId="1" applyNumberFormat="1" applyFont="1" applyFill="1" applyBorder="1" applyAlignment="1">
      <alignment horizontal="center" vertical="center"/>
    </xf>
    <xf numFmtId="178" fontId="293" fillId="0" borderId="1" xfId="0" applyNumberFormat="1" applyFont="1" applyBorder="1" applyAlignment="1">
      <alignment horizontal="centerContinuous" vertical="center"/>
    </xf>
    <xf numFmtId="171" fontId="293" fillId="0" borderId="1" xfId="1" applyNumberFormat="1" applyFont="1" applyFill="1" applyBorder="1" applyAlignment="1">
      <alignment horizontal="center" vertical="center"/>
    </xf>
    <xf numFmtId="176" fontId="253" fillId="0" borderId="0" xfId="0" applyNumberFormat="1" applyFont="1" applyAlignment="1">
      <alignment vertical="center"/>
    </xf>
    <xf numFmtId="168" fontId="253" fillId="0" borderId="0" xfId="0" applyNumberFormat="1" applyFont="1" applyAlignment="1">
      <alignment vertical="center"/>
    </xf>
    <xf numFmtId="0" fontId="253" fillId="0" borderId="0" xfId="0" applyFont="1" applyAlignment="1">
      <alignment horizontal="right" vertical="center"/>
    </xf>
    <xf numFmtId="178" fontId="253" fillId="0" borderId="0" xfId="0" applyNumberFormat="1" applyFont="1" applyAlignment="1">
      <alignment horizontal="center" vertical="center"/>
    </xf>
    <xf numFmtId="180" fontId="253" fillId="0" borderId="0" xfId="0" applyNumberFormat="1" applyFont="1" applyAlignment="1">
      <alignment horizontal="center" vertical="center" wrapText="1"/>
    </xf>
    <xf numFmtId="173" fontId="253" fillId="0" borderId="0" xfId="0" applyNumberFormat="1" applyFont="1" applyAlignment="1">
      <alignment horizontal="center" vertical="center" wrapText="1"/>
    </xf>
    <xf numFmtId="0" fontId="293" fillId="0" borderId="0" xfId="0" applyFont="1" applyAlignment="1">
      <alignment horizontal="center" vertical="center"/>
    </xf>
    <xf numFmtId="0" fontId="293" fillId="0" borderId="0" xfId="0" applyFont="1" applyAlignment="1">
      <alignment horizontal="right" vertical="center"/>
    </xf>
    <xf numFmtId="171" fontId="293" fillId="0" borderId="0" xfId="1" applyNumberFormat="1" applyFont="1" applyFill="1" applyBorder="1" applyAlignment="1">
      <alignment vertical="center"/>
    </xf>
    <xf numFmtId="169" fontId="293" fillId="0" borderId="0" xfId="1" applyFont="1" applyFill="1" applyBorder="1" applyAlignment="1">
      <alignment vertical="center"/>
    </xf>
    <xf numFmtId="169" fontId="253" fillId="0" borderId="0" xfId="35073" applyFont="1" applyFill="1"/>
    <xf numFmtId="0" fontId="293" fillId="0" borderId="2" xfId="0" applyFont="1" applyBorder="1" applyAlignment="1">
      <alignment horizontal="center" vertical="center" wrapText="1"/>
    </xf>
    <xf numFmtId="0" fontId="293" fillId="0" borderId="25" xfId="77" applyFont="1" applyBorder="1" applyAlignment="1">
      <alignment horizontal="center" vertical="center" wrapText="1"/>
    </xf>
    <xf numFmtId="49" fontId="253" fillId="0" borderId="1" xfId="0" applyNumberFormat="1" applyFont="1" applyBorder="1" applyAlignment="1">
      <alignment vertical="center" wrapText="1"/>
    </xf>
    <xf numFmtId="178" fontId="293" fillId="0" borderId="25" xfId="0" applyNumberFormat="1" applyFont="1" applyBorder="1" applyAlignment="1">
      <alignment vertical="center" wrapText="1"/>
    </xf>
    <xf numFmtId="180" fontId="293" fillId="0" borderId="38" xfId="0" applyNumberFormat="1" applyFont="1" applyBorder="1" applyAlignment="1">
      <alignment horizontal="center" vertical="center" wrapText="1"/>
    </xf>
    <xf numFmtId="0" fontId="293" fillId="0" borderId="39" xfId="0" applyFont="1" applyBorder="1" applyAlignment="1">
      <alignment horizontal="center" vertical="center" wrapText="1"/>
    </xf>
    <xf numFmtId="171" fontId="293" fillId="0" borderId="0" xfId="1" applyNumberFormat="1" applyFont="1" applyFill="1" applyBorder="1" applyAlignment="1">
      <alignment horizontal="center" vertical="center"/>
    </xf>
    <xf numFmtId="178" fontId="293" fillId="0" borderId="0" xfId="0" applyNumberFormat="1" applyFont="1" applyAlignment="1">
      <alignment vertical="center" wrapText="1"/>
    </xf>
    <xf numFmtId="0" fontId="253" fillId="0" borderId="0" xfId="35072" applyFont="1"/>
    <xf numFmtId="169" fontId="253" fillId="0" borderId="0" xfId="5" applyFont="1" applyFill="1" applyAlignment="1">
      <alignment vertical="center"/>
    </xf>
    <xf numFmtId="0" fontId="293" fillId="0" borderId="25" xfId="0" applyFont="1" applyBorder="1" applyAlignment="1">
      <alignment horizontal="center" vertical="center" wrapText="1"/>
    </xf>
    <xf numFmtId="204" fontId="253" fillId="0" borderId="0" xfId="0" applyNumberFormat="1" applyFont="1" applyAlignment="1">
      <alignment horizontal="center" vertical="center"/>
    </xf>
    <xf numFmtId="169" fontId="253" fillId="0" borderId="0" xfId="35073" applyFont="1" applyFill="1" applyAlignment="1">
      <alignment horizontal="center"/>
    </xf>
    <xf numFmtId="0" fontId="293" fillId="0" borderId="25" xfId="0" applyFont="1" applyBorder="1" applyAlignment="1">
      <alignment horizontal="center" vertical="center"/>
    </xf>
    <xf numFmtId="199" fontId="293" fillId="0" borderId="25" xfId="5" applyNumberFormat="1" applyFont="1" applyFill="1" applyBorder="1" applyAlignment="1">
      <alignment horizontal="center" vertical="center" wrapText="1"/>
    </xf>
    <xf numFmtId="169" fontId="253" fillId="0" borderId="0" xfId="1" applyFont="1" applyFill="1" applyBorder="1" applyAlignment="1">
      <alignment vertical="center" wrapText="1"/>
    </xf>
    <xf numFmtId="169" fontId="253" fillId="0" borderId="0" xfId="1" applyFont="1" applyFill="1" applyBorder="1" applyAlignment="1">
      <alignment horizontal="right" vertical="center" wrapText="1"/>
    </xf>
    <xf numFmtId="0" fontId="253" fillId="0" borderId="0" xfId="35075" applyFont="1" applyFill="1" applyBorder="1" applyAlignment="1">
      <alignment vertical="center"/>
    </xf>
    <xf numFmtId="0" fontId="253" fillId="0" borderId="0" xfId="35075" applyFont="1" applyFill="1" applyBorder="1" applyAlignment="1">
      <alignment horizontal="center" vertical="center"/>
    </xf>
    <xf numFmtId="0" fontId="253" fillId="0" borderId="0" xfId="35075" applyFont="1" applyFill="1" applyBorder="1" applyAlignment="1">
      <alignment vertical="center" wrapText="1"/>
    </xf>
    <xf numFmtId="0" fontId="253" fillId="0" borderId="0" xfId="35075" applyFont="1" applyFill="1" applyBorder="1" applyAlignment="1">
      <alignment horizontal="right" vertical="center" wrapText="1"/>
    </xf>
    <xf numFmtId="180" fontId="253" fillId="0" borderId="0" xfId="35075" applyNumberFormat="1" applyFont="1" applyFill="1" applyBorder="1" applyAlignment="1">
      <alignment vertical="center"/>
    </xf>
    <xf numFmtId="196" fontId="253" fillId="0" borderId="0" xfId="35075" applyNumberFormat="1" applyFont="1" applyFill="1" applyAlignment="1">
      <alignment vertical="center"/>
    </xf>
    <xf numFmtId="173" fontId="253" fillId="0" borderId="0" xfId="35075" applyNumberFormat="1" applyFont="1" applyFill="1" applyAlignment="1">
      <alignment vertical="center"/>
    </xf>
    <xf numFmtId="180" fontId="253" fillId="0" borderId="0" xfId="35075" applyNumberFormat="1" applyFont="1" applyFill="1" applyBorder="1" applyAlignment="1">
      <alignment horizontal="center" vertical="center" wrapText="1"/>
    </xf>
    <xf numFmtId="196" fontId="253" fillId="0" borderId="0" xfId="35075" applyNumberFormat="1" applyFont="1" applyFill="1" applyAlignment="1">
      <alignment horizontal="center" vertical="center" wrapText="1"/>
    </xf>
    <xf numFmtId="173" fontId="253" fillId="0" borderId="0" xfId="35075" applyNumberFormat="1" applyFont="1" applyFill="1" applyAlignment="1">
      <alignment horizontal="center" vertical="center" wrapText="1"/>
    </xf>
    <xf numFmtId="169" fontId="254" fillId="0" borderId="41" xfId="1" applyFont="1" applyFill="1" applyBorder="1" applyAlignment="1">
      <alignment horizontal="right" wrapText="1"/>
    </xf>
    <xf numFmtId="0" fontId="254" fillId="0" borderId="41" xfId="43918" applyFont="1" applyBorder="1" applyAlignment="1">
      <alignment wrapText="1"/>
    </xf>
    <xf numFmtId="0" fontId="254" fillId="0" borderId="41" xfId="43925" applyBorder="1" applyAlignment="1">
      <alignment horizontal="right" wrapText="1"/>
    </xf>
    <xf numFmtId="0" fontId="254" fillId="0" borderId="29" xfId="35099" applyFont="1" applyBorder="1" applyAlignment="1">
      <alignment wrapText="1"/>
    </xf>
    <xf numFmtId="0" fontId="254" fillId="0" borderId="29" xfId="35099" applyFont="1" applyBorder="1" applyAlignment="1">
      <alignment horizontal="right" wrapText="1"/>
    </xf>
    <xf numFmtId="169" fontId="254" fillId="0" borderId="29" xfId="1" applyFont="1" applyFill="1" applyBorder="1" applyAlignment="1">
      <alignment horizontal="right" wrapText="1"/>
    </xf>
    <xf numFmtId="180" fontId="253" fillId="0" borderId="1" xfId="35087" applyNumberFormat="1" applyFont="1" applyFill="1" applyBorder="1" applyAlignment="1">
      <alignment vertical="center"/>
    </xf>
    <xf numFmtId="173" fontId="253" fillId="0" borderId="1" xfId="35087" applyNumberFormat="1" applyFont="1" applyFill="1" applyBorder="1" applyAlignment="1">
      <alignment vertical="center"/>
    </xf>
    <xf numFmtId="0" fontId="253" fillId="0" borderId="43" xfId="35066" applyFont="1" applyBorder="1" applyAlignment="1">
      <alignment horizontal="center"/>
    </xf>
    <xf numFmtId="0" fontId="253" fillId="0" borderId="1" xfId="35067" applyFont="1" applyBorder="1" applyAlignment="1">
      <alignment vertical="center" wrapText="1"/>
    </xf>
    <xf numFmtId="0" fontId="253" fillId="0" borderId="1" xfId="35068" applyFont="1" applyBorder="1" applyAlignment="1">
      <alignment vertical="center"/>
    </xf>
    <xf numFmtId="169" fontId="253" fillId="0" borderId="44" xfId="1" applyFont="1" applyFill="1" applyBorder="1" applyAlignment="1">
      <alignment horizontal="right" vertical="center" wrapText="1"/>
    </xf>
    <xf numFmtId="0" fontId="253" fillId="0" borderId="1" xfId="12" applyFont="1" applyBorder="1" applyAlignment="1">
      <alignment horizontal="center" vertical="center"/>
    </xf>
    <xf numFmtId="0" fontId="253" fillId="0" borderId="1" xfId="12" applyFont="1" applyBorder="1" applyAlignment="1">
      <alignment horizontal="center" vertical="center" wrapText="1"/>
    </xf>
    <xf numFmtId="0" fontId="253" fillId="0" borderId="1" xfId="35069" applyFont="1" applyBorder="1"/>
    <xf numFmtId="169" fontId="253" fillId="0" borderId="1" xfId="35069" applyNumberFormat="1" applyFont="1" applyBorder="1"/>
    <xf numFmtId="0" fontId="253" fillId="0" borderId="1" xfId="35069" applyFont="1" applyBorder="1" applyAlignment="1">
      <alignment horizontal="center"/>
    </xf>
    <xf numFmtId="0" fontId="253" fillId="0" borderId="1" xfId="4346" applyFont="1" applyBorder="1" applyAlignment="1">
      <alignment horizontal="center"/>
    </xf>
    <xf numFmtId="0" fontId="253" fillId="0" borderId="1" xfId="0" applyFont="1" applyBorder="1"/>
    <xf numFmtId="169" fontId="253" fillId="0" borderId="1" xfId="1" applyFont="1" applyFill="1" applyBorder="1"/>
    <xf numFmtId="0" fontId="253" fillId="0" borderId="1" xfId="4346" applyFont="1" applyBorder="1" applyAlignment="1">
      <alignment horizontal="center" wrapText="1"/>
    </xf>
    <xf numFmtId="49" fontId="259" fillId="0" borderId="0" xfId="0" applyNumberFormat="1" applyFont="1" applyAlignment="1">
      <alignment horizontal="left" vertical="center"/>
    </xf>
    <xf numFmtId="169" fontId="259" fillId="0" borderId="0" xfId="1" applyFont="1" applyFill="1" applyAlignment="1">
      <alignment horizontal="left" vertical="center"/>
    </xf>
    <xf numFmtId="169" fontId="253" fillId="0" borderId="0" xfId="1" applyFont="1" applyFill="1" applyBorder="1" applyAlignment="1">
      <alignment horizontal="left" vertical="center"/>
    </xf>
    <xf numFmtId="0" fontId="253" fillId="0" borderId="0" xfId="0" applyFont="1" applyAlignment="1">
      <alignment horizontal="left"/>
    </xf>
    <xf numFmtId="0" fontId="253" fillId="0" borderId="0" xfId="0" applyFont="1" applyAlignment="1">
      <alignment horizontal="left" vertical="center"/>
    </xf>
    <xf numFmtId="49" fontId="259" fillId="0" borderId="0" xfId="0" applyNumberFormat="1" applyFont="1" applyAlignment="1">
      <alignment horizontal="left"/>
    </xf>
    <xf numFmtId="0" fontId="291" fillId="0" borderId="0" xfId="4" applyFont="1" applyAlignment="1">
      <alignment horizontal="left" wrapText="1"/>
    </xf>
    <xf numFmtId="0" fontId="259" fillId="0" borderId="0" xfId="0" applyFont="1" applyAlignment="1">
      <alignment horizontal="left"/>
    </xf>
    <xf numFmtId="169" fontId="259" fillId="0" borderId="0" xfId="1" applyFont="1" applyFill="1" applyAlignment="1">
      <alignment horizontal="left"/>
    </xf>
    <xf numFmtId="169" fontId="253" fillId="0" borderId="0" xfId="1" applyFont="1" applyFill="1" applyBorder="1" applyAlignment="1">
      <alignment horizontal="left"/>
    </xf>
    <xf numFmtId="0" fontId="291" fillId="0" borderId="0" xfId="4" applyFont="1" applyAlignment="1">
      <alignment wrapText="1"/>
    </xf>
    <xf numFmtId="169" fontId="253" fillId="0" borderId="0" xfId="1" applyFont="1" applyFill="1" applyAlignment="1">
      <alignment horizontal="left" vertical="center"/>
    </xf>
    <xf numFmtId="169" fontId="253" fillId="0" borderId="1" xfId="1" applyFont="1" applyFill="1" applyBorder="1" applyAlignment="1">
      <alignment horizontal="center" wrapText="1"/>
    </xf>
    <xf numFmtId="173" fontId="253" fillId="0" borderId="1" xfId="0" applyNumberFormat="1" applyFont="1" applyBorder="1" applyAlignment="1">
      <alignment horizontal="center"/>
    </xf>
    <xf numFmtId="180" fontId="253" fillId="0" borderId="1" xfId="0" applyNumberFormat="1" applyFont="1" applyBorder="1" applyAlignment="1">
      <alignment horizontal="center"/>
    </xf>
    <xf numFmtId="169" fontId="253" fillId="0" borderId="1" xfId="1" applyFont="1" applyFill="1" applyBorder="1" applyAlignment="1">
      <alignment horizontal="center"/>
    </xf>
    <xf numFmtId="173" fontId="253" fillId="0" borderId="1" xfId="0" applyNumberFormat="1" applyFont="1" applyBorder="1" applyAlignment="1">
      <alignment horizontal="center" wrapText="1"/>
    </xf>
    <xf numFmtId="180" fontId="253" fillId="0" borderId="1" xfId="0" applyNumberFormat="1" applyFont="1" applyBorder="1" applyAlignment="1">
      <alignment horizontal="center" wrapText="1"/>
    </xf>
    <xf numFmtId="173" fontId="312" fillId="0" borderId="1" xfId="0" applyNumberFormat="1" applyFont="1" applyBorder="1" applyAlignment="1">
      <alignment horizontal="center" vertical="center" wrapText="1"/>
    </xf>
    <xf numFmtId="180" fontId="312" fillId="0" borderId="1" xfId="0" applyNumberFormat="1" applyFont="1" applyBorder="1" applyAlignment="1">
      <alignment horizontal="center" vertical="center" wrapText="1"/>
    </xf>
    <xf numFmtId="169" fontId="312" fillId="0" borderId="1" xfId="1" applyFont="1" applyFill="1" applyBorder="1" applyAlignment="1">
      <alignment horizontal="center" vertical="center" wrapText="1"/>
    </xf>
    <xf numFmtId="0" fontId="253" fillId="0" borderId="1" xfId="0" applyFont="1" applyBorder="1" applyAlignment="1">
      <alignment horizontal="center" vertical="center" wrapText="1"/>
    </xf>
    <xf numFmtId="0" fontId="313" fillId="31" borderId="1" xfId="0" applyFont="1" applyFill="1" applyBorder="1" applyAlignment="1">
      <alignment horizontal="center" vertical="center" wrapText="1"/>
    </xf>
    <xf numFmtId="0" fontId="267" fillId="30" borderId="1" xfId="0" applyFont="1" applyFill="1" applyBorder="1" applyAlignment="1">
      <alignment horizontal="center" vertical="center"/>
    </xf>
    <xf numFmtId="169" fontId="267" fillId="30" borderId="1" xfId="1" applyFont="1" applyFill="1" applyBorder="1" applyAlignment="1">
      <alignment horizontal="center" vertical="center"/>
    </xf>
    <xf numFmtId="0" fontId="267" fillId="30" borderId="1" xfId="0" applyFont="1" applyFill="1" applyBorder="1" applyAlignment="1">
      <alignment horizontal="center" vertical="center" wrapText="1"/>
    </xf>
    <xf numFmtId="169" fontId="291" fillId="0" borderId="0" xfId="1" applyFont="1" applyFill="1" applyBorder="1" applyAlignment="1">
      <alignment horizontal="left" vertical="center" wrapText="1"/>
    </xf>
    <xf numFmtId="169" fontId="267" fillId="30" borderId="1" xfId="1" applyFont="1" applyFill="1" applyBorder="1" applyAlignment="1">
      <alignment horizontal="center" vertical="center" wrapText="1"/>
    </xf>
    <xf numFmtId="169" fontId="259" fillId="0" borderId="0" xfId="1" applyFont="1" applyFill="1" applyAlignment="1">
      <alignment horizontal="center" vertical="center"/>
    </xf>
    <xf numFmtId="169" fontId="267" fillId="0" borderId="0" xfId="1" applyFont="1" applyFill="1" applyBorder="1" applyAlignment="1">
      <alignment horizontal="center" vertical="center"/>
    </xf>
    <xf numFmtId="169" fontId="267" fillId="0" borderId="0" xfId="1" applyFont="1" applyFill="1" applyAlignment="1">
      <alignment vertical="center"/>
    </xf>
    <xf numFmtId="0" fontId="317" fillId="0" borderId="0" xfId="0" applyFont="1" applyAlignment="1">
      <alignment vertical="center"/>
    </xf>
    <xf numFmtId="0" fontId="260" fillId="0" borderId="0" xfId="0" applyFont="1" applyAlignment="1">
      <alignment vertical="center" wrapText="1"/>
    </xf>
    <xf numFmtId="169" fontId="260" fillId="0" borderId="0" xfId="1" applyFont="1" applyFill="1" applyAlignment="1">
      <alignment vertical="center"/>
    </xf>
    <xf numFmtId="169" fontId="318" fillId="0" borderId="0" xfId="1" applyFont="1" applyFill="1" applyAlignment="1">
      <alignment vertical="center"/>
    </xf>
    <xf numFmtId="0" fontId="318" fillId="0" borderId="0" xfId="0" applyFont="1" applyAlignment="1">
      <alignment vertical="center"/>
    </xf>
    <xf numFmtId="170" fontId="260" fillId="0" borderId="0" xfId="1" applyNumberFormat="1" applyFont="1" applyFill="1" applyAlignment="1">
      <alignment vertical="center"/>
    </xf>
    <xf numFmtId="0" fontId="316" fillId="0" borderId="0" xfId="0" applyFont="1" applyAlignment="1">
      <alignment horizontal="left" vertical="center"/>
    </xf>
    <xf numFmtId="0" fontId="293" fillId="0" borderId="4" xfId="0" applyFont="1" applyBorder="1" applyAlignment="1">
      <alignment horizontal="center" vertical="center"/>
    </xf>
    <xf numFmtId="0" fontId="253" fillId="0" borderId="10" xfId="35071" applyFont="1" applyBorder="1" applyAlignment="1">
      <alignment vertical="center"/>
    </xf>
    <xf numFmtId="0" fontId="314" fillId="0" borderId="41" xfId="43935" applyFont="1" applyBorder="1" applyAlignment="1">
      <alignment vertical="center" wrapText="1"/>
    </xf>
    <xf numFmtId="0" fontId="254" fillId="0" borderId="41" xfId="43896" applyBorder="1" applyAlignment="1">
      <alignment horizontal="right" vertical="center" wrapText="1"/>
    </xf>
    <xf numFmtId="4" fontId="254" fillId="0" borderId="41" xfId="43896" applyNumberFormat="1" applyBorder="1" applyAlignment="1">
      <alignment horizontal="right" vertical="center" wrapText="1"/>
    </xf>
    <xf numFmtId="0" fontId="253" fillId="0" borderId="29" xfId="35074" applyFont="1" applyBorder="1" applyAlignment="1">
      <alignment horizontal="right" vertical="center" wrapText="1"/>
    </xf>
    <xf numFmtId="0" fontId="254" fillId="0" borderId="29" xfId="35120" applyFont="1" applyBorder="1" applyAlignment="1">
      <alignment horizontal="right" vertical="center" wrapText="1"/>
    </xf>
    <xf numFmtId="0" fontId="314" fillId="27" borderId="40" xfId="43936" applyFont="1" applyFill="1" applyBorder="1" applyAlignment="1">
      <alignment horizontal="center"/>
    </xf>
    <xf numFmtId="0" fontId="108" fillId="0" borderId="0" xfId="43948"/>
    <xf numFmtId="169" fontId="0" fillId="0" borderId="0" xfId="0" applyNumberFormat="1"/>
    <xf numFmtId="0" fontId="255" fillId="0" borderId="41" xfId="35101" applyFont="1" applyBorder="1" applyAlignment="1">
      <alignment wrapText="1"/>
    </xf>
    <xf numFmtId="0" fontId="255" fillId="0" borderId="41" xfId="43991" applyFont="1" applyBorder="1" applyAlignment="1">
      <alignment wrapText="1"/>
    </xf>
    <xf numFmtId="0" fontId="255" fillId="0" borderId="41" xfId="43991" applyFont="1" applyBorder="1" applyAlignment="1">
      <alignment horizontal="right" wrapText="1"/>
    </xf>
    <xf numFmtId="4" fontId="259" fillId="0" borderId="0" xfId="0" applyNumberFormat="1" applyFont="1" applyAlignment="1">
      <alignment horizontal="left" vertical="center"/>
    </xf>
    <xf numFmtId="4" fontId="327" fillId="0" borderId="0" xfId="0" applyNumberFormat="1" applyFont="1" applyAlignment="1">
      <alignment horizontal="center" vertical="center"/>
    </xf>
    <xf numFmtId="4" fontId="259" fillId="0" borderId="0" xfId="0" applyNumberFormat="1" applyFont="1" applyAlignment="1">
      <alignment horizontal="center" vertical="center" wrapText="1"/>
    </xf>
    <xf numFmtId="199" fontId="259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7" fillId="0" borderId="1" xfId="1" applyFont="1" applyFill="1" applyBorder="1" applyAlignment="1">
      <alignment horizontal="center" vertical="center"/>
    </xf>
    <xf numFmtId="43" fontId="259" fillId="0" borderId="0" xfId="0" applyNumberFormat="1" applyFont="1" applyAlignment="1">
      <alignment vertical="center"/>
    </xf>
    <xf numFmtId="0" fontId="255" fillId="0" borderId="46" xfId="35128" applyFont="1" applyBorder="1" applyAlignment="1">
      <alignment wrapText="1"/>
    </xf>
    <xf numFmtId="0" fontId="255" fillId="0" borderId="46" xfId="35128" applyFont="1" applyBorder="1" applyAlignment="1">
      <alignment horizontal="right" wrapText="1"/>
    </xf>
    <xf numFmtId="169" fontId="255" fillId="0" borderId="46" xfId="1" applyFont="1" applyFill="1" applyBorder="1" applyAlignment="1">
      <alignment horizontal="right" wrapText="1"/>
    </xf>
    <xf numFmtId="0" fontId="317" fillId="0" borderId="0" xfId="0" applyFont="1" applyAlignment="1">
      <alignment horizontal="left" vertical="center"/>
    </xf>
    <xf numFmtId="4" fontId="317" fillId="0" borderId="0" xfId="0" applyNumberFormat="1" applyFont="1" applyAlignment="1">
      <alignment horizontal="center" vertical="center"/>
    </xf>
    <xf numFmtId="169" fontId="317" fillId="0" borderId="0" xfId="1" applyFont="1" applyFill="1" applyBorder="1" applyAlignment="1">
      <alignment vertical="center"/>
    </xf>
    <xf numFmtId="43" fontId="317" fillId="0" borderId="0" xfId="0" applyNumberFormat="1" applyFont="1" applyAlignment="1">
      <alignment vertical="center"/>
    </xf>
    <xf numFmtId="4" fontId="317" fillId="0" borderId="0" xfId="0" applyNumberFormat="1" applyFont="1" applyAlignment="1">
      <alignment vertical="center"/>
    </xf>
    <xf numFmtId="0" fontId="293" fillId="2" borderId="0" xfId="0" applyFont="1" applyFill="1" applyAlignment="1">
      <alignment vertical="center"/>
    </xf>
    <xf numFmtId="0" fontId="259" fillId="2" borderId="0" xfId="0" applyFont="1" applyFill="1" applyAlignment="1">
      <alignment vertical="center"/>
    </xf>
    <xf numFmtId="17" fontId="267" fillId="2" borderId="0" xfId="0" applyNumberFormat="1" applyFont="1" applyFill="1" applyAlignment="1">
      <alignment vertical="center" wrapText="1"/>
    </xf>
    <xf numFmtId="0" fontId="293" fillId="2" borderId="0" xfId="35071" applyFont="1" applyFill="1" applyAlignment="1">
      <alignment vertical="center"/>
    </xf>
    <xf numFmtId="0" fontId="293" fillId="2" borderId="0" xfId="0" applyFont="1" applyFill="1" applyAlignment="1">
      <alignment horizontal="center" vertical="center"/>
    </xf>
    <xf numFmtId="0" fontId="267" fillId="2" borderId="0" xfId="0" applyFont="1" applyFill="1" applyAlignment="1">
      <alignment horizontal="center" vertical="center"/>
    </xf>
    <xf numFmtId="0" fontId="253" fillId="2" borderId="0" xfId="35071" applyFont="1" applyFill="1" applyAlignment="1">
      <alignment vertical="center"/>
    </xf>
    <xf numFmtId="171" fontId="253" fillId="2" borderId="0" xfId="1" applyNumberFormat="1" applyFont="1" applyFill="1" applyBorder="1" applyAlignment="1">
      <alignment horizontal="center" vertical="center"/>
    </xf>
    <xf numFmtId="173" fontId="253" fillId="2" borderId="0" xfId="0" applyNumberFormat="1" applyFont="1" applyFill="1" applyAlignment="1">
      <alignment vertical="center"/>
    </xf>
    <xf numFmtId="171" fontId="259" fillId="2" borderId="0" xfId="1" applyNumberFormat="1" applyFont="1" applyFill="1" applyBorder="1" applyAlignment="1">
      <alignment horizontal="center" vertical="center"/>
    </xf>
    <xf numFmtId="173" fontId="259" fillId="2" borderId="0" xfId="0" applyNumberFormat="1" applyFont="1" applyFill="1" applyAlignment="1">
      <alignment vertical="center"/>
    </xf>
    <xf numFmtId="178" fontId="293" fillId="2" borderId="0" xfId="0" applyNumberFormat="1" applyFont="1" applyFill="1" applyAlignment="1">
      <alignment horizontal="center" vertical="center"/>
    </xf>
    <xf numFmtId="171" fontId="293" fillId="2" borderId="0" xfId="1" applyNumberFormat="1" applyFont="1" applyFill="1" applyBorder="1" applyAlignment="1">
      <alignment horizontal="center" vertical="center"/>
    </xf>
    <xf numFmtId="176" fontId="253" fillId="2" borderId="0" xfId="0" applyNumberFormat="1" applyFont="1" applyFill="1" applyAlignment="1">
      <alignment vertical="center"/>
    </xf>
    <xf numFmtId="171" fontId="267" fillId="2" borderId="0" xfId="1" applyNumberFormat="1" applyFont="1" applyFill="1" applyBorder="1" applyAlignment="1">
      <alignment horizontal="left" vertical="center"/>
    </xf>
    <xf numFmtId="176" fontId="259" fillId="2" borderId="0" xfId="0" applyNumberFormat="1" applyFont="1" applyFill="1" applyAlignment="1">
      <alignment vertical="center"/>
    </xf>
    <xf numFmtId="170" fontId="259" fillId="2" borderId="0" xfId="1" applyNumberFormat="1" applyFont="1" applyFill="1" applyBorder="1" applyAlignment="1">
      <alignment vertical="center"/>
    </xf>
    <xf numFmtId="1" fontId="259" fillId="2" borderId="0" xfId="0" applyNumberFormat="1" applyFont="1" applyFill="1" applyAlignment="1">
      <alignment vertical="center"/>
    </xf>
    <xf numFmtId="0" fontId="255" fillId="27" borderId="45" xfId="44025" applyFont="1" applyFill="1" applyBorder="1" applyAlignment="1">
      <alignment horizontal="center"/>
    </xf>
    <xf numFmtId="0" fontId="255" fillId="0" borderId="48" xfId="44025" applyFont="1" applyBorder="1" applyAlignment="1">
      <alignment wrapText="1"/>
    </xf>
    <xf numFmtId="0" fontId="329" fillId="27" borderId="45" xfId="44026" applyFont="1" applyFill="1" applyBorder="1" applyAlignment="1">
      <alignment horizontal="center"/>
    </xf>
    <xf numFmtId="0" fontId="329" fillId="0" borderId="48" xfId="44026" applyFont="1" applyBorder="1" applyAlignment="1">
      <alignment wrapText="1"/>
    </xf>
    <xf numFmtId="0" fontId="329" fillId="0" borderId="48" xfId="44026" applyFont="1" applyBorder="1" applyAlignment="1">
      <alignment horizontal="right" wrapText="1"/>
    </xf>
    <xf numFmtId="4" fontId="329" fillId="0" borderId="48" xfId="44026" applyNumberFormat="1" applyFont="1" applyBorder="1" applyAlignment="1">
      <alignment horizontal="right" wrapText="1"/>
    </xf>
    <xf numFmtId="0" fontId="329" fillId="29" borderId="48" xfId="35101" applyFont="1" applyFill="1" applyBorder="1" applyAlignment="1">
      <alignment horizontal="right" wrapText="1"/>
    </xf>
    <xf numFmtId="0" fontId="296" fillId="0" borderId="23" xfId="35058" applyBorder="1"/>
    <xf numFmtId="10" fontId="259" fillId="0" borderId="0" xfId="35075" applyNumberFormat="1" applyFont="1" applyFill="1" applyAlignment="1">
      <alignment horizontal="center" vertical="center" wrapText="1"/>
    </xf>
    <xf numFmtId="209" fontId="259" fillId="0" borderId="1" xfId="0" applyNumberFormat="1" applyFont="1" applyBorder="1" applyAlignment="1">
      <alignment horizontal="center" vertical="center" wrapText="1"/>
    </xf>
    <xf numFmtId="0" fontId="255" fillId="0" borderId="48" xfId="44026" applyFont="1" applyBorder="1" applyAlignment="1">
      <alignment wrapText="1"/>
    </xf>
    <xf numFmtId="174" fontId="259" fillId="0" borderId="0" xfId="2" applyNumberFormat="1" applyFont="1" applyFill="1" applyAlignment="1">
      <alignment horizontal="center" vertical="center"/>
    </xf>
    <xf numFmtId="174" fontId="253" fillId="0" borderId="0" xfId="2" applyNumberFormat="1" applyFont="1" applyFill="1" applyAlignment="1">
      <alignment horizontal="center" vertical="center"/>
    </xf>
    <xf numFmtId="174" fontId="267" fillId="0" borderId="0" xfId="2" applyNumberFormat="1" applyFont="1" applyFill="1" applyAlignment="1">
      <alignment horizontal="center" vertical="center"/>
    </xf>
    <xf numFmtId="174" fontId="293" fillId="0" borderId="0" xfId="2" applyNumberFormat="1" applyFont="1" applyFill="1" applyAlignment="1">
      <alignment horizontal="center" vertical="center"/>
    </xf>
    <xf numFmtId="169" fontId="317" fillId="0" borderId="1" xfId="1" applyFont="1" applyFill="1" applyBorder="1" applyAlignment="1">
      <alignment vertical="center"/>
    </xf>
    <xf numFmtId="2" fontId="259" fillId="0" borderId="0" xfId="0" applyNumberFormat="1" applyFont="1" applyAlignment="1">
      <alignment horizontal="center" vertical="center"/>
    </xf>
    <xf numFmtId="0" fontId="261" fillId="0" borderId="1" xfId="0" applyFont="1" applyBorder="1" applyAlignment="1">
      <alignment horizontal="center" vertical="center" wrapText="1"/>
    </xf>
    <xf numFmtId="0" fontId="260" fillId="0" borderId="0" xfId="0" applyFont="1" applyAlignment="1">
      <alignment horizontal="center" vertical="center"/>
    </xf>
    <xf numFmtId="0" fontId="261" fillId="0" borderId="25" xfId="0" applyFont="1" applyBorder="1" applyAlignment="1">
      <alignment horizontal="center" vertical="center"/>
    </xf>
    <xf numFmtId="1" fontId="260" fillId="0" borderId="0" xfId="0" applyNumberFormat="1" applyFont="1" applyAlignment="1">
      <alignment horizontal="center" vertical="center"/>
    </xf>
    <xf numFmtId="1" fontId="260" fillId="0" borderId="0" xfId="0" applyNumberFormat="1" applyFont="1" applyAlignment="1">
      <alignment horizontal="center" vertical="center" wrapText="1"/>
    </xf>
    <xf numFmtId="204" fontId="260" fillId="0" borderId="0" xfId="0" applyNumberFormat="1" applyFont="1" applyAlignment="1">
      <alignment horizontal="center" vertical="center"/>
    </xf>
    <xf numFmtId="172" fontId="260" fillId="0" borderId="0" xfId="0" applyNumberFormat="1" applyFont="1" applyAlignment="1">
      <alignment horizontal="center" vertical="center"/>
    </xf>
    <xf numFmtId="174" fontId="260" fillId="0" borderId="0" xfId="2" applyNumberFormat="1" applyFont="1" applyFill="1" applyAlignment="1">
      <alignment vertical="center"/>
    </xf>
    <xf numFmtId="9" fontId="260" fillId="0" borderId="0" xfId="2" applyFont="1" applyFill="1" applyAlignment="1">
      <alignment horizontal="center" vertical="center"/>
    </xf>
    <xf numFmtId="0" fontId="260" fillId="0" borderId="0" xfId="77" applyFont="1" applyAlignment="1">
      <alignment horizontal="left" vertical="center"/>
    </xf>
    <xf numFmtId="193" fontId="260" fillId="0" borderId="0" xfId="77" applyNumberFormat="1" applyFont="1" applyAlignment="1">
      <alignment horizontal="center" vertical="center"/>
    </xf>
    <xf numFmtId="0" fontId="260" fillId="0" borderId="0" xfId="0" applyFont="1" applyAlignment="1">
      <alignment horizontal="center" vertical="center" wrapText="1"/>
    </xf>
    <xf numFmtId="190" fontId="260" fillId="0" borderId="0" xfId="0" applyNumberFormat="1" applyFont="1" applyAlignment="1">
      <alignment horizontal="center" vertical="center" wrapText="1"/>
    </xf>
    <xf numFmtId="169" fontId="260" fillId="0" borderId="0" xfId="1" applyFont="1" applyFill="1" applyAlignment="1">
      <alignment horizontal="center" vertical="center"/>
    </xf>
    <xf numFmtId="1" fontId="260" fillId="0" borderId="0" xfId="4" applyNumberFormat="1" applyFont="1" applyAlignment="1">
      <alignment horizontal="center" vertical="center" wrapText="1"/>
    </xf>
    <xf numFmtId="1" fontId="260" fillId="0" borderId="0" xfId="4" applyNumberFormat="1" applyFont="1" applyAlignment="1">
      <alignment horizontal="center" vertical="center"/>
    </xf>
    <xf numFmtId="0" fontId="260" fillId="0" borderId="0" xfId="4" applyFont="1" applyAlignment="1">
      <alignment horizontal="center" vertical="center"/>
    </xf>
    <xf numFmtId="9" fontId="260" fillId="0" borderId="0" xfId="2" applyFont="1" applyFill="1" applyAlignment="1">
      <alignment vertical="center"/>
    </xf>
    <xf numFmtId="0" fontId="261" fillId="0" borderId="0" xfId="0" applyFont="1" applyAlignment="1">
      <alignment vertical="center"/>
    </xf>
    <xf numFmtId="0" fontId="261" fillId="0" borderId="0" xfId="0" applyFont="1" applyAlignment="1">
      <alignment horizontal="center" vertical="center"/>
    </xf>
    <xf numFmtId="0" fontId="260" fillId="0" borderId="0" xfId="3" applyFont="1" applyAlignment="1">
      <alignment horizontal="center" vertical="center" wrapText="1"/>
    </xf>
    <xf numFmtId="204" fontId="260" fillId="0" borderId="0" xfId="0" applyNumberFormat="1" applyFont="1" applyAlignment="1">
      <alignment horizontal="center" vertical="center" wrapText="1"/>
    </xf>
    <xf numFmtId="171" fontId="260" fillId="0" borderId="0" xfId="1" applyNumberFormat="1" applyFont="1" applyFill="1" applyBorder="1" applyAlignment="1">
      <alignment horizontal="center" vertical="center"/>
    </xf>
    <xf numFmtId="177" fontId="260" fillId="0" borderId="0" xfId="0" applyNumberFormat="1" applyFont="1" applyAlignment="1">
      <alignment vertical="center"/>
    </xf>
    <xf numFmtId="199" fontId="260" fillId="0" borderId="0" xfId="2" applyNumberFormat="1" applyFont="1" applyFill="1" applyAlignment="1">
      <alignment vertical="center"/>
    </xf>
    <xf numFmtId="0" fontId="260" fillId="0" borderId="0" xfId="0" applyFont="1" applyAlignment="1">
      <alignment horizontal="left" vertical="center"/>
    </xf>
    <xf numFmtId="169" fontId="260" fillId="0" borderId="0" xfId="0" applyNumberFormat="1" applyFont="1" applyAlignment="1">
      <alignment horizontal="center" vertical="center" wrapText="1"/>
    </xf>
    <xf numFmtId="1" fontId="261" fillId="0" borderId="25" xfId="8848" applyNumberFormat="1" applyFont="1" applyFill="1" applyBorder="1" applyAlignment="1">
      <alignment horizontal="center" vertical="center" wrapText="1"/>
    </xf>
    <xf numFmtId="178" fontId="260" fillId="0" borderId="0" xfId="0" applyNumberFormat="1" applyFont="1" applyAlignment="1">
      <alignment horizontal="center" vertical="center"/>
    </xf>
    <xf numFmtId="3" fontId="260" fillId="0" borderId="0" xfId="1" applyNumberFormat="1" applyFont="1" applyFill="1" applyBorder="1" applyAlignment="1">
      <alignment horizontal="center" vertical="center" wrapText="1"/>
    </xf>
    <xf numFmtId="173" fontId="260" fillId="0" borderId="0" xfId="0" applyNumberFormat="1" applyFont="1" applyAlignment="1">
      <alignment vertical="center" wrapText="1"/>
    </xf>
    <xf numFmtId="180" fontId="260" fillId="0" borderId="0" xfId="0" applyNumberFormat="1" applyFont="1" applyAlignment="1">
      <alignment horizontal="center" vertical="center"/>
    </xf>
    <xf numFmtId="180" fontId="316" fillId="0" borderId="0" xfId="0" applyNumberFormat="1" applyFont="1" applyAlignment="1">
      <alignment horizontal="justify" vertical="center" wrapText="1"/>
    </xf>
    <xf numFmtId="49" fontId="260" fillId="0" borderId="0" xfId="0" applyNumberFormat="1" applyFont="1" applyAlignment="1">
      <alignment vertical="center"/>
    </xf>
    <xf numFmtId="175" fontId="260" fillId="0" borderId="0" xfId="1" applyNumberFormat="1" applyFont="1" applyFill="1" applyBorder="1" applyAlignment="1">
      <alignment horizontal="center" vertical="center" wrapText="1"/>
    </xf>
    <xf numFmtId="173" fontId="260" fillId="0" borderId="0" xfId="0" applyNumberFormat="1" applyFont="1" applyAlignment="1">
      <alignment vertical="center"/>
    </xf>
    <xf numFmtId="0" fontId="320" fillId="0" borderId="0" xfId="0" applyFont="1" applyAlignment="1">
      <alignment vertical="center"/>
    </xf>
    <xf numFmtId="178" fontId="260" fillId="0" borderId="0" xfId="0" applyNumberFormat="1" applyFont="1" applyAlignment="1">
      <alignment horizontal="left" vertical="center"/>
    </xf>
    <xf numFmtId="0" fontId="255" fillId="27" borderId="0" xfId="44025" applyFont="1" applyFill="1" applyAlignment="1">
      <alignment horizontal="center"/>
    </xf>
    <xf numFmtId="0" fontId="255" fillId="0" borderId="49" xfId="44025" applyFont="1" applyBorder="1" applyAlignment="1">
      <alignment horizontal="right" wrapText="1"/>
    </xf>
    <xf numFmtId="180" fontId="260" fillId="33" borderId="0" xfId="35087" applyNumberFormat="1" applyFont="1" applyFill="1" applyBorder="1" applyAlignment="1">
      <alignment vertical="center"/>
    </xf>
    <xf numFmtId="196" fontId="260" fillId="0" borderId="0" xfId="35087" applyNumberFormat="1" applyFont="1" applyFill="1" applyBorder="1" applyAlignment="1">
      <alignment vertical="center"/>
    </xf>
    <xf numFmtId="176" fontId="334" fillId="0" borderId="0" xfId="0" applyNumberFormat="1" applyFont="1" applyAlignment="1">
      <alignment vertical="center"/>
    </xf>
    <xf numFmtId="9" fontId="335" fillId="0" borderId="0" xfId="2" applyFont="1" applyFill="1" applyAlignment="1">
      <alignment vertical="center"/>
    </xf>
    <xf numFmtId="199" fontId="260" fillId="0" borderId="0" xfId="77" applyNumberFormat="1" applyFont="1" applyAlignment="1">
      <alignment horizontal="left" vertical="center"/>
    </xf>
    <xf numFmtId="0" fontId="267" fillId="0" borderId="53" xfId="77" applyFont="1" applyBorder="1" applyAlignment="1">
      <alignment horizontal="center" vertical="center" wrapText="1"/>
    </xf>
    <xf numFmtId="2" fontId="267" fillId="0" borderId="53" xfId="0" applyNumberFormat="1" applyFont="1" applyBorder="1" applyAlignment="1">
      <alignment horizontal="center" vertical="center"/>
    </xf>
    <xf numFmtId="4" fontId="0" fillId="0" borderId="0" xfId="0" applyNumberFormat="1"/>
    <xf numFmtId="0" fontId="255" fillId="0" borderId="49" xfId="44026" applyFont="1" applyBorder="1" applyAlignment="1">
      <alignment horizontal="right" wrapText="1"/>
    </xf>
    <xf numFmtId="4" fontId="255" fillId="0" borderId="49" xfId="44026" applyNumberFormat="1" applyFont="1" applyBorder="1" applyAlignment="1">
      <alignment horizontal="right" wrapText="1"/>
    </xf>
    <xf numFmtId="0" fontId="298" fillId="0" borderId="49" xfId="35099" applyBorder="1" applyAlignment="1">
      <alignment horizontal="right" wrapText="1"/>
    </xf>
    <xf numFmtId="169" fontId="254" fillId="0" borderId="49" xfId="1" applyFont="1" applyFill="1" applyBorder="1" applyAlignment="1">
      <alignment horizontal="right" wrapText="1"/>
    </xf>
    <xf numFmtId="199" fontId="259" fillId="0" borderId="0" xfId="0" applyNumberFormat="1" applyFont="1" applyAlignment="1">
      <alignment horizontal="center" vertical="center" wrapText="1"/>
    </xf>
    <xf numFmtId="49" fontId="260" fillId="0" borderId="0" xfId="0" applyNumberFormat="1" applyFont="1" applyAlignment="1">
      <alignment horizontal="center" vertical="center"/>
    </xf>
    <xf numFmtId="0" fontId="316" fillId="0" borderId="0" xfId="0" applyFont="1" applyAlignment="1">
      <alignment horizontal="justify" vertical="center" wrapText="1"/>
    </xf>
    <xf numFmtId="0" fontId="261" fillId="0" borderId="52" xfId="0" applyFont="1" applyBorder="1" applyAlignment="1">
      <alignment horizontal="center" vertical="center"/>
    </xf>
    <xf numFmtId="0" fontId="261" fillId="0" borderId="53" xfId="77" applyFont="1" applyBorder="1" applyAlignment="1">
      <alignment horizontal="center" vertical="center"/>
    </xf>
    <xf numFmtId="199" fontId="261" fillId="0" borderId="51" xfId="5" applyNumberFormat="1" applyFont="1" applyFill="1" applyBorder="1" applyAlignment="1">
      <alignment horizontal="center" vertical="center" wrapText="1"/>
    </xf>
    <xf numFmtId="0" fontId="261" fillId="0" borderId="50" xfId="0" applyFont="1" applyBorder="1" applyAlignment="1">
      <alignment horizontal="center" vertical="center"/>
    </xf>
    <xf numFmtId="0" fontId="261" fillId="0" borderId="51" xfId="0" applyFont="1" applyBorder="1" applyAlignment="1">
      <alignment horizontal="center" vertical="center"/>
    </xf>
    <xf numFmtId="0" fontId="261" fillId="0" borderId="51" xfId="4" applyFont="1" applyBorder="1" applyAlignment="1">
      <alignment horizontal="center" vertical="center"/>
    </xf>
    <xf numFmtId="178" fontId="261" fillId="0" borderId="51" xfId="0" applyNumberFormat="1" applyFont="1" applyBorder="1" applyAlignment="1">
      <alignment horizontal="center" vertical="center"/>
    </xf>
    <xf numFmtId="178" fontId="261" fillId="0" borderId="50" xfId="0" applyNumberFormat="1" applyFont="1" applyBorder="1" applyAlignment="1">
      <alignment horizontal="center" vertical="center"/>
    </xf>
    <xf numFmtId="178" fontId="261" fillId="0" borderId="51" xfId="0" applyNumberFormat="1" applyFont="1" applyBorder="1" applyAlignment="1">
      <alignment horizontal="center" vertical="center" wrapText="1"/>
    </xf>
    <xf numFmtId="178" fontId="261" fillId="0" borderId="50" xfId="0" applyNumberFormat="1" applyFont="1" applyBorder="1" applyAlignment="1">
      <alignment horizontal="left" vertical="center"/>
    </xf>
    <xf numFmtId="199" fontId="261" fillId="0" borderId="53" xfId="5" applyNumberFormat="1" applyFont="1" applyFill="1" applyBorder="1" applyAlignment="1">
      <alignment horizontal="center" vertical="center" wrapText="1"/>
    </xf>
    <xf numFmtId="0" fontId="261" fillId="0" borderId="53" xfId="77" applyFont="1" applyBorder="1" applyAlignment="1">
      <alignment horizontal="right" vertical="center"/>
    </xf>
    <xf numFmtId="204" fontId="261" fillId="0" borderId="53" xfId="5" applyNumberFormat="1" applyFont="1" applyFill="1" applyBorder="1" applyAlignment="1">
      <alignment horizontal="center" vertical="center" wrapText="1"/>
    </xf>
    <xf numFmtId="0" fontId="259" fillId="0" borderId="53" xfId="0" applyFont="1" applyBorder="1" applyAlignment="1">
      <alignment horizontal="center" vertical="center"/>
    </xf>
    <xf numFmtId="2" fontId="259" fillId="0" borderId="53" xfId="0" applyNumberFormat="1" applyFont="1" applyBorder="1" applyAlignment="1">
      <alignment horizontal="center" vertical="center"/>
    </xf>
    <xf numFmtId="180" fontId="259" fillId="0" borderId="10" xfId="0" applyNumberFormat="1" applyFont="1" applyBorder="1" applyAlignment="1">
      <alignment horizontal="center" vertical="center" wrapText="1"/>
    </xf>
    <xf numFmtId="3" fontId="258" fillId="0" borderId="10" xfId="0" applyNumberFormat="1" applyFont="1" applyBorder="1" applyAlignment="1">
      <alignment horizontal="center" vertical="center"/>
    </xf>
    <xf numFmtId="0" fontId="316" fillId="0" borderId="0" xfId="0" applyFont="1" applyAlignment="1">
      <alignment horizontal="left" vertical="center" wrapText="1"/>
    </xf>
    <xf numFmtId="0" fontId="261" fillId="0" borderId="50" xfId="0" applyFont="1" applyBorder="1" applyAlignment="1">
      <alignment horizontal="center" vertical="center" wrapText="1"/>
    </xf>
    <xf numFmtId="0" fontId="261" fillId="0" borderId="0" xfId="0" applyFont="1" applyAlignment="1">
      <alignment horizontal="left" vertical="center"/>
    </xf>
    <xf numFmtId="0" fontId="260" fillId="0" borderId="0" xfId="0" applyFont="1" applyAlignment="1">
      <alignment horizontal="centerContinuous" vertical="center"/>
    </xf>
    <xf numFmtId="1" fontId="260" fillId="0" borderId="0" xfId="0" applyNumberFormat="1" applyFont="1" applyAlignment="1">
      <alignment vertical="center" wrapText="1"/>
    </xf>
    <xf numFmtId="195" fontId="260" fillId="0" borderId="0" xfId="5" applyNumberFormat="1" applyFont="1" applyFill="1" applyAlignment="1">
      <alignment horizontal="center" vertical="center" wrapText="1"/>
    </xf>
    <xf numFmtId="9" fontId="260" fillId="0" borderId="0" xfId="2" applyFont="1" applyFill="1" applyAlignment="1">
      <alignment horizontal="center" vertical="center" wrapText="1"/>
    </xf>
    <xf numFmtId="10" fontId="260" fillId="0" borderId="0" xfId="2" applyNumberFormat="1" applyFont="1" applyFill="1" applyBorder="1" applyAlignment="1">
      <alignment vertical="center"/>
    </xf>
    <xf numFmtId="1" fontId="260" fillId="0" borderId="0" xfId="0" applyNumberFormat="1" applyFont="1" applyAlignment="1">
      <alignment vertical="center"/>
    </xf>
    <xf numFmtId="0" fontId="260" fillId="0" borderId="0" xfId="4" applyFont="1" applyAlignment="1">
      <alignment vertical="center"/>
    </xf>
    <xf numFmtId="176" fontId="260" fillId="0" borderId="0" xfId="0" applyNumberFormat="1" applyFont="1" applyAlignment="1">
      <alignment vertical="center"/>
    </xf>
    <xf numFmtId="178" fontId="260" fillId="0" borderId="0" xfId="0" applyNumberFormat="1" applyFont="1" applyAlignment="1">
      <alignment horizontal="centerContinuous" vertical="center"/>
    </xf>
    <xf numFmtId="9" fontId="260" fillId="0" borderId="0" xfId="2" applyFont="1" applyFill="1" applyBorder="1" applyAlignment="1">
      <alignment horizontal="center" vertical="center"/>
    </xf>
    <xf numFmtId="176" fontId="261" fillId="0" borderId="0" xfId="0" applyNumberFormat="1" applyFont="1" applyAlignment="1">
      <alignment vertical="center"/>
    </xf>
    <xf numFmtId="0" fontId="261" fillId="0" borderId="50" xfId="4" applyFont="1" applyBorder="1" applyAlignment="1">
      <alignment horizontal="center" vertical="center"/>
    </xf>
    <xf numFmtId="0" fontId="261" fillId="0" borderId="33" xfId="0" applyFont="1" applyBorder="1" applyAlignment="1">
      <alignment horizontal="center" vertical="center"/>
    </xf>
    <xf numFmtId="173" fontId="260" fillId="0" borderId="0" xfId="0" applyNumberFormat="1" applyFont="1" applyAlignment="1">
      <alignment horizontal="center" vertical="center" wrapText="1"/>
    </xf>
    <xf numFmtId="171" fontId="261" fillId="0" borderId="50" xfId="1" applyNumberFormat="1" applyFont="1" applyFill="1" applyBorder="1" applyAlignment="1">
      <alignment horizontal="center" vertical="center" wrapText="1"/>
    </xf>
    <xf numFmtId="0" fontId="261" fillId="0" borderId="33" xfId="0" applyFont="1" applyBorder="1" applyAlignment="1">
      <alignment horizontal="center" vertical="center" wrapText="1"/>
    </xf>
    <xf numFmtId="0" fontId="316" fillId="0" borderId="0" xfId="4" applyFont="1" applyAlignment="1">
      <alignment vertical="center" wrapText="1"/>
    </xf>
    <xf numFmtId="0" fontId="261" fillId="30" borderId="1" xfId="0" applyFont="1" applyFill="1" applyBorder="1" applyAlignment="1">
      <alignment horizontal="center" vertical="center"/>
    </xf>
    <xf numFmtId="169" fontId="261" fillId="30" borderId="1" xfId="1" applyFont="1" applyFill="1" applyBorder="1" applyAlignment="1">
      <alignment horizontal="center" vertical="center"/>
    </xf>
    <xf numFmtId="0" fontId="257" fillId="0" borderId="1" xfId="26" applyFont="1" applyBorder="1" applyAlignment="1">
      <alignment horizontal="center" vertical="center" wrapText="1"/>
    </xf>
    <xf numFmtId="1" fontId="66" fillId="0" borderId="34" xfId="26" applyNumberFormat="1" applyFont="1" applyBorder="1" applyAlignment="1">
      <alignment horizontal="center" vertical="center" wrapText="1"/>
    </xf>
    <xf numFmtId="165" fontId="66" fillId="0" borderId="34" xfId="26" applyNumberFormat="1" applyFont="1" applyBorder="1" applyAlignment="1">
      <alignment horizontal="center" vertical="center" wrapText="1"/>
    </xf>
    <xf numFmtId="1" fontId="66" fillId="0" borderId="1" xfId="26" applyNumberFormat="1" applyFont="1" applyBorder="1" applyAlignment="1">
      <alignment horizontal="center" vertical="center" wrapText="1"/>
    </xf>
    <xf numFmtId="1" fontId="66" fillId="0" borderId="42" xfId="26" applyNumberFormat="1" applyFont="1" applyBorder="1" applyAlignment="1">
      <alignment horizontal="center" vertical="center" wrapText="1"/>
    </xf>
    <xf numFmtId="165" fontId="66" fillId="0" borderId="42" xfId="26" applyNumberFormat="1" applyFont="1" applyBorder="1" applyAlignment="1">
      <alignment horizontal="center" vertical="center" wrapText="1"/>
    </xf>
    <xf numFmtId="165" fontId="66" fillId="0" borderId="1" xfId="26" applyNumberFormat="1" applyFont="1" applyBorder="1" applyAlignment="1">
      <alignment horizontal="center" vertical="center" wrapText="1"/>
    </xf>
    <xf numFmtId="0" fontId="257" fillId="26" borderId="1" xfId="0" applyFont="1" applyFill="1" applyBorder="1" applyAlignment="1">
      <alignment horizontal="center" vertical="center" wrapText="1"/>
    </xf>
    <xf numFmtId="1" fontId="257" fillId="26" borderId="1" xfId="0" applyNumberFormat="1" applyFont="1" applyFill="1" applyBorder="1" applyAlignment="1">
      <alignment horizontal="center" vertical="center" wrapText="1"/>
    </xf>
    <xf numFmtId="200" fontId="257" fillId="26" borderId="1" xfId="0" applyNumberFormat="1" applyFont="1" applyFill="1" applyBorder="1" applyAlignment="1">
      <alignment horizontal="center" vertical="center" wrapText="1"/>
    </xf>
    <xf numFmtId="178" fontId="261" fillId="0" borderId="12" xfId="0" applyNumberFormat="1" applyFont="1" applyBorder="1" applyAlignment="1">
      <alignment horizontal="center" vertical="center"/>
    </xf>
    <xf numFmtId="0" fontId="261" fillId="0" borderId="31" xfId="0" applyFont="1" applyBorder="1" applyAlignment="1">
      <alignment horizontal="center" vertical="center"/>
    </xf>
    <xf numFmtId="0" fontId="261" fillId="0" borderId="4" xfId="77" applyFont="1" applyBorder="1" applyAlignment="1">
      <alignment horizontal="center" vertical="center"/>
    </xf>
    <xf numFmtId="180" fontId="260" fillId="0" borderId="0" xfId="0" applyNumberFormat="1" applyFont="1" applyAlignment="1">
      <alignment horizontal="center" vertical="center" wrapText="1"/>
    </xf>
    <xf numFmtId="200" fontId="261" fillId="0" borderId="4" xfId="5" applyNumberFormat="1" applyFont="1" applyFill="1" applyBorder="1" applyAlignment="1">
      <alignment horizontal="center" vertical="center" wrapText="1"/>
    </xf>
    <xf numFmtId="0" fontId="260" fillId="0" borderId="0" xfId="0" applyFont="1" applyAlignment="1">
      <alignment horizontal="left" vertical="center" wrapText="1"/>
    </xf>
    <xf numFmtId="0" fontId="260" fillId="0" borderId="0" xfId="35071" applyFont="1" applyAlignment="1">
      <alignment vertical="center"/>
    </xf>
    <xf numFmtId="0" fontId="261" fillId="0" borderId="1" xfId="35071" applyFont="1" applyBorder="1" applyAlignment="1">
      <alignment vertical="center"/>
    </xf>
    <xf numFmtId="0" fontId="261" fillId="0" borderId="1" xfId="0" applyFont="1" applyBorder="1" applyAlignment="1">
      <alignment horizontal="center" vertical="center"/>
    </xf>
    <xf numFmtId="0" fontId="261" fillId="0" borderId="1" xfId="0" applyFont="1" applyBorder="1" applyAlignment="1">
      <alignment horizontal="centerContinuous" vertical="center"/>
    </xf>
    <xf numFmtId="0" fontId="260" fillId="0" borderId="1" xfId="35071" applyFont="1" applyBorder="1" applyAlignment="1">
      <alignment vertical="center"/>
    </xf>
    <xf numFmtId="178" fontId="261" fillId="0" borderId="1" xfId="0" applyNumberFormat="1" applyFont="1" applyBorder="1" applyAlignment="1">
      <alignment horizontal="centerContinuous" vertical="center"/>
    </xf>
    <xf numFmtId="180" fontId="261" fillId="0" borderId="0" xfId="0" applyNumberFormat="1" applyFont="1" applyAlignment="1">
      <alignment horizontal="center" vertical="center" wrapText="1"/>
    </xf>
    <xf numFmtId="178" fontId="261" fillId="0" borderId="0" xfId="0" applyNumberFormat="1" applyFont="1" applyAlignment="1">
      <alignment horizontal="centerContinuous" vertical="center"/>
    </xf>
    <xf numFmtId="215" fontId="260" fillId="0" borderId="0" xfId="0" applyNumberFormat="1" applyFont="1" applyAlignment="1">
      <alignment vertical="center"/>
    </xf>
    <xf numFmtId="0" fontId="261" fillId="0" borderId="1" xfId="77" applyFont="1" applyBorder="1" applyAlignment="1">
      <alignment horizontal="center" vertical="center"/>
    </xf>
    <xf numFmtId="178" fontId="261" fillId="0" borderId="1" xfId="0" applyNumberFormat="1" applyFont="1" applyBorder="1" applyAlignment="1">
      <alignment horizontal="center" vertical="center"/>
    </xf>
    <xf numFmtId="180" fontId="261" fillId="0" borderId="1" xfId="0" applyNumberFormat="1" applyFont="1" applyBorder="1" applyAlignment="1">
      <alignment horizontal="center" vertical="center" wrapText="1"/>
    </xf>
    <xf numFmtId="199" fontId="261" fillId="0" borderId="1" xfId="5" applyNumberFormat="1" applyFont="1" applyFill="1" applyBorder="1" applyAlignment="1">
      <alignment horizontal="center" vertical="center" wrapText="1"/>
    </xf>
    <xf numFmtId="199" fontId="260" fillId="0" borderId="0" xfId="0" applyNumberFormat="1" applyFont="1" applyAlignment="1">
      <alignment vertical="center"/>
    </xf>
    <xf numFmtId="178" fontId="261" fillId="0" borderId="0" xfId="0" applyNumberFormat="1" applyFont="1" applyAlignment="1">
      <alignment horizontal="center" vertical="center"/>
    </xf>
    <xf numFmtId="0" fontId="261" fillId="0" borderId="0" xfId="0" applyFont="1" applyAlignment="1">
      <alignment horizontal="centerContinuous" vertical="center"/>
    </xf>
    <xf numFmtId="49" fontId="261" fillId="0" borderId="51" xfId="0" applyNumberFormat="1" applyFont="1" applyBorder="1" applyAlignment="1">
      <alignment vertical="center" wrapText="1"/>
    </xf>
    <xf numFmtId="0" fontId="261" fillId="0" borderId="2" xfId="0" applyFont="1" applyBorder="1" applyAlignment="1">
      <alignment horizontal="center" vertical="center" wrapText="1"/>
    </xf>
    <xf numFmtId="0" fontId="261" fillId="0" borderId="25" xfId="77" applyFont="1" applyBorder="1" applyAlignment="1">
      <alignment horizontal="center" vertical="center" wrapText="1"/>
    </xf>
    <xf numFmtId="0" fontId="261" fillId="0" borderId="31" xfId="77" applyFont="1" applyBorder="1" applyAlignment="1">
      <alignment horizontal="center" vertical="center" wrapText="1"/>
    </xf>
    <xf numFmtId="49" fontId="260" fillId="0" borderId="54" xfId="0" applyNumberFormat="1" applyFont="1" applyBorder="1" applyAlignment="1">
      <alignment vertical="center" wrapText="1"/>
    </xf>
    <xf numFmtId="49" fontId="260" fillId="0" borderId="26" xfId="0" applyNumberFormat="1" applyFont="1" applyBorder="1" applyAlignment="1">
      <alignment vertical="center" wrapText="1"/>
    </xf>
    <xf numFmtId="178" fontId="261" fillId="0" borderId="51" xfId="0" applyNumberFormat="1" applyFont="1" applyBorder="1" applyAlignment="1">
      <alignment vertical="center" wrapText="1"/>
    </xf>
    <xf numFmtId="0" fontId="261" fillId="0" borderId="39" xfId="0" applyFont="1" applyBorder="1" applyAlignment="1">
      <alignment horizontal="center" vertical="center" wrapText="1"/>
    </xf>
    <xf numFmtId="180" fontId="261" fillId="0" borderId="50" xfId="0" applyNumberFormat="1" applyFont="1" applyBorder="1" applyAlignment="1">
      <alignment horizontal="center" vertical="center" wrapText="1"/>
    </xf>
    <xf numFmtId="178" fontId="261" fillId="0" borderId="0" xfId="0" applyNumberFormat="1" applyFont="1" applyAlignment="1">
      <alignment vertical="center" wrapText="1"/>
    </xf>
    <xf numFmtId="0" fontId="261" fillId="0" borderId="0" xfId="0" applyFont="1" applyAlignment="1">
      <alignment horizontal="center" vertical="center" wrapText="1"/>
    </xf>
    <xf numFmtId="0" fontId="261" fillId="0" borderId="53" xfId="77" applyFont="1" applyBorder="1" applyAlignment="1">
      <alignment horizontal="center" vertical="center" wrapText="1"/>
    </xf>
    <xf numFmtId="178" fontId="261" fillId="0" borderId="50" xfId="0" applyNumberFormat="1" applyFont="1" applyBorder="1" applyAlignment="1">
      <alignment vertical="center" wrapText="1"/>
    </xf>
    <xf numFmtId="0" fontId="260" fillId="0" borderId="1" xfId="0" applyFont="1" applyBorder="1" applyAlignment="1">
      <alignment horizontal="center" vertical="center" wrapText="1"/>
    </xf>
    <xf numFmtId="1" fontId="260" fillId="0" borderId="1" xfId="5" applyNumberFormat="1" applyFont="1" applyFill="1" applyBorder="1" applyAlignment="1">
      <alignment horizontal="center" vertical="center" wrapText="1"/>
    </xf>
    <xf numFmtId="9" fontId="260" fillId="0" borderId="1" xfId="2" applyFont="1" applyFill="1" applyBorder="1" applyAlignment="1">
      <alignment horizontal="center" vertical="center" wrapText="1"/>
    </xf>
    <xf numFmtId="168" fontId="261" fillId="0" borderId="1" xfId="0" applyNumberFormat="1" applyFont="1" applyBorder="1" applyAlignment="1">
      <alignment horizontal="center" vertical="center"/>
    </xf>
    <xf numFmtId="1" fontId="261" fillId="0" borderId="1" xfId="8848" applyNumberFormat="1" applyFont="1" applyFill="1" applyBorder="1" applyAlignment="1">
      <alignment horizontal="center" vertical="center" wrapText="1"/>
    </xf>
    <xf numFmtId="9" fontId="261" fillId="0" borderId="1" xfId="0" applyNumberFormat="1" applyFont="1" applyBorder="1" applyAlignment="1">
      <alignment horizontal="center" vertical="center" wrapText="1"/>
    </xf>
    <xf numFmtId="168" fontId="66" fillId="0" borderId="1" xfId="35087" applyNumberFormat="1" applyFont="1" applyFill="1" applyBorder="1" applyAlignment="1">
      <alignment vertical="center"/>
    </xf>
    <xf numFmtId="180" fontId="260" fillId="0" borderId="1" xfId="35087" applyNumberFormat="1" applyFont="1" applyFill="1" applyBorder="1" applyAlignment="1">
      <alignment horizontal="center" vertical="center"/>
    </xf>
    <xf numFmtId="176" fontId="261" fillId="0" borderId="1" xfId="35088" applyNumberFormat="1" applyFont="1" applyBorder="1" applyAlignment="1">
      <alignment horizontal="left" vertical="center"/>
    </xf>
    <xf numFmtId="180" fontId="261" fillId="0" borderId="1" xfId="35087" applyNumberFormat="1" applyFont="1" applyFill="1" applyBorder="1" applyAlignment="1">
      <alignment horizontal="center" vertical="center"/>
    </xf>
    <xf numFmtId="0" fontId="318" fillId="0" borderId="0" xfId="35088" applyFont="1" applyAlignment="1">
      <alignment vertical="center"/>
    </xf>
    <xf numFmtId="180" fontId="66" fillId="0" borderId="1" xfId="35087" applyNumberFormat="1" applyFont="1" applyFill="1" applyBorder="1" applyAlignment="1">
      <alignment horizontal="center" vertical="center"/>
    </xf>
    <xf numFmtId="168" fontId="257" fillId="0" borderId="1" xfId="35088" applyNumberFormat="1" applyFont="1" applyBorder="1" applyAlignment="1">
      <alignment horizontal="center" vertical="center"/>
    </xf>
    <xf numFmtId="168" fontId="66" fillId="0" borderId="0" xfId="35087" applyNumberFormat="1" applyFont="1" applyFill="1" applyAlignment="1">
      <alignment vertical="center"/>
    </xf>
    <xf numFmtId="0" fontId="66" fillId="0" borderId="0" xfId="35087" applyFont="1" applyFill="1" applyAlignment="1">
      <alignment vertical="center"/>
    </xf>
    <xf numFmtId="180" fontId="66" fillId="0" borderId="0" xfId="35087" applyNumberFormat="1" applyFont="1" applyFill="1" applyBorder="1" applyAlignment="1">
      <alignment vertical="center"/>
    </xf>
    <xf numFmtId="168" fontId="260" fillId="0" borderId="0" xfId="0" applyNumberFormat="1" applyFont="1" applyAlignment="1">
      <alignment vertical="center"/>
    </xf>
    <xf numFmtId="168" fontId="260" fillId="0" borderId="0" xfId="0" applyNumberFormat="1" applyFont="1" applyAlignment="1">
      <alignment horizontal="center" vertical="center"/>
    </xf>
    <xf numFmtId="0" fontId="318" fillId="0" borderId="0" xfId="43961" applyFont="1" applyAlignment="1">
      <alignment vertical="center"/>
    </xf>
    <xf numFmtId="169" fontId="260" fillId="0" borderId="0" xfId="0" applyNumberFormat="1" applyFont="1" applyAlignment="1">
      <alignment vertical="center"/>
    </xf>
    <xf numFmtId="199" fontId="320" fillId="0" borderId="0" xfId="0" applyNumberFormat="1" applyFont="1" applyAlignment="1">
      <alignment horizontal="center" vertical="center"/>
    </xf>
    <xf numFmtId="199" fontId="320" fillId="0" borderId="0" xfId="0" applyNumberFormat="1" applyFont="1" applyAlignment="1">
      <alignment vertical="center"/>
    </xf>
    <xf numFmtId="169" fontId="261" fillId="0" borderId="1" xfId="1" applyFont="1" applyFill="1" applyBorder="1" applyAlignment="1">
      <alignment horizontal="center" vertical="center"/>
    </xf>
    <xf numFmtId="0" fontId="66" fillId="0" borderId="1" xfId="26" applyFont="1" applyBorder="1" applyAlignment="1">
      <alignment horizontal="center" vertical="center" wrapText="1"/>
    </xf>
    <xf numFmtId="0" fontId="257" fillId="0" borderId="1" xfId="0" applyFont="1" applyBorder="1" applyAlignment="1">
      <alignment horizontal="center" vertical="center" wrapText="1"/>
    </xf>
    <xf numFmtId="1" fontId="257" fillId="0" borderId="1" xfId="0" applyNumberFormat="1" applyFont="1" applyBorder="1" applyAlignment="1">
      <alignment horizontal="center" vertical="center" wrapText="1"/>
    </xf>
    <xf numFmtId="199" fontId="257" fillId="0" borderId="1" xfId="0" applyNumberFormat="1" applyFont="1" applyBorder="1" applyAlignment="1">
      <alignment horizontal="center" vertical="center" wrapText="1"/>
    </xf>
    <xf numFmtId="0" fontId="260" fillId="0" borderId="50" xfId="0" applyFont="1" applyBorder="1" applyAlignment="1">
      <alignment vertical="center"/>
    </xf>
    <xf numFmtId="0" fontId="260" fillId="0" borderId="31" xfId="0" applyFont="1" applyBorder="1" applyAlignment="1">
      <alignment horizontal="center" vertical="center"/>
    </xf>
    <xf numFmtId="2" fontId="260" fillId="0" borderId="0" xfId="0" applyNumberFormat="1" applyFont="1" applyAlignment="1">
      <alignment horizontal="center" vertical="center"/>
    </xf>
    <xf numFmtId="2" fontId="260" fillId="0" borderId="31" xfId="0" applyNumberFormat="1" applyFont="1" applyBorder="1" applyAlignment="1">
      <alignment horizontal="center" vertical="center"/>
    </xf>
    <xf numFmtId="0" fontId="261" fillId="0" borderId="53" xfId="0" applyFont="1" applyBorder="1" applyAlignment="1">
      <alignment horizontal="center" vertical="center"/>
    </xf>
    <xf numFmtId="178" fontId="261" fillId="0" borderId="31" xfId="0" applyNumberFormat="1" applyFont="1" applyBorder="1" applyAlignment="1">
      <alignment horizontal="center" vertical="center"/>
    </xf>
    <xf numFmtId="3" fontId="261" fillId="0" borderId="0" xfId="0" applyNumberFormat="1" applyFont="1" applyAlignment="1">
      <alignment horizontal="center" vertical="center"/>
    </xf>
    <xf numFmtId="0" fontId="259" fillId="0" borderId="10" xfId="0" applyFont="1" applyBorder="1" applyAlignment="1">
      <alignment horizontal="center" vertical="center" wrapText="1"/>
    </xf>
    <xf numFmtId="199" fontId="259" fillId="0" borderId="0" xfId="0" applyNumberFormat="1" applyFont="1" applyAlignment="1">
      <alignment horizontal="center" vertical="center"/>
    </xf>
    <xf numFmtId="216" fontId="260" fillId="0" borderId="0" xfId="2" applyNumberFormat="1" applyFont="1" applyFill="1" applyAlignment="1">
      <alignment vertical="center"/>
    </xf>
    <xf numFmtId="180" fontId="259" fillId="0" borderId="0" xfId="0" applyNumberFormat="1" applyFont="1" applyAlignment="1">
      <alignment horizontal="center" vertical="center"/>
    </xf>
    <xf numFmtId="180" fontId="267" fillId="0" borderId="1" xfId="0" applyNumberFormat="1" applyFont="1" applyBorder="1" applyAlignment="1">
      <alignment horizontal="center" vertical="center" wrapText="1"/>
    </xf>
    <xf numFmtId="168" fontId="57" fillId="0" borderId="1" xfId="35087" applyNumberFormat="1" applyFont="1" applyFill="1" applyBorder="1" applyAlignment="1">
      <alignment vertical="center"/>
    </xf>
    <xf numFmtId="180" fontId="261" fillId="2" borderId="1" xfId="35087" applyNumberFormat="1" applyFont="1" applyFill="1" applyBorder="1" applyAlignment="1">
      <alignment horizontal="center" vertical="center"/>
    </xf>
    <xf numFmtId="176" fontId="336" fillId="0" borderId="0" xfId="35088" applyNumberFormat="1" applyFont="1" applyAlignment="1">
      <alignment vertical="center"/>
    </xf>
    <xf numFmtId="180" fontId="260" fillId="0" borderId="51" xfId="35087" applyNumberFormat="1" applyFont="1" applyFill="1" applyBorder="1" applyAlignment="1">
      <alignment horizontal="center" vertical="center"/>
    </xf>
    <xf numFmtId="180" fontId="57" fillId="0" borderId="51" xfId="35087" applyNumberFormat="1" applyFont="1" applyFill="1" applyBorder="1" applyAlignment="1">
      <alignment horizontal="center" vertical="center"/>
    </xf>
    <xf numFmtId="0" fontId="337" fillId="0" borderId="0" xfId="0" applyFont="1" applyAlignment="1">
      <alignment vertical="center"/>
    </xf>
    <xf numFmtId="199" fontId="261" fillId="0" borderId="0" xfId="5" applyNumberFormat="1" applyFont="1" applyFill="1" applyBorder="1" applyAlignment="1">
      <alignment horizontal="center" vertical="center" wrapText="1"/>
    </xf>
    <xf numFmtId="204" fontId="261" fillId="0" borderId="0" xfId="5" applyNumberFormat="1" applyFont="1" applyFill="1" applyBorder="1" applyAlignment="1">
      <alignment horizontal="center" vertical="center" wrapText="1"/>
    </xf>
    <xf numFmtId="0" fontId="267" fillId="0" borderId="58" xfId="0" applyFont="1" applyBorder="1" applyAlignment="1">
      <alignment horizontal="center" vertical="center"/>
    </xf>
    <xf numFmtId="217" fontId="260" fillId="0" borderId="0" xfId="0" applyNumberFormat="1" applyFont="1" applyAlignment="1">
      <alignment vertical="center"/>
    </xf>
    <xf numFmtId="180" fontId="267" fillId="2" borderId="1" xfId="0" applyNumberFormat="1" applyFont="1" applyFill="1" applyBorder="1" applyAlignment="1">
      <alignment horizontal="center" vertical="center" wrapText="1"/>
    </xf>
    <xf numFmtId="180" fontId="267" fillId="2" borderId="10" xfId="0" applyNumberFormat="1" applyFont="1" applyFill="1" applyBorder="1" applyAlignment="1">
      <alignment horizontal="center" vertical="center" wrapText="1"/>
    </xf>
    <xf numFmtId="169" fontId="261" fillId="0" borderId="1" xfId="1" applyFont="1" applyFill="1" applyBorder="1" applyAlignment="1">
      <alignment horizontal="center" vertical="center" wrapText="1"/>
    </xf>
    <xf numFmtId="173" fontId="260" fillId="0" borderId="1" xfId="43893" applyNumberFormat="1" applyFont="1" applyBorder="1" applyAlignment="1">
      <alignment horizontal="center" vertical="center"/>
    </xf>
    <xf numFmtId="173" fontId="260" fillId="0" borderId="1" xfId="0" applyNumberFormat="1" applyFont="1" applyBorder="1" applyAlignment="1">
      <alignment horizontal="center" vertical="center"/>
    </xf>
    <xf numFmtId="217" fontId="259" fillId="0" borderId="0" xfId="0" applyNumberFormat="1" applyFont="1" applyAlignment="1">
      <alignment horizontal="left" vertical="center"/>
    </xf>
    <xf numFmtId="199" fontId="260" fillId="0" borderId="0" xfId="0" applyNumberFormat="1" applyFont="1" applyAlignment="1">
      <alignment horizontal="center" vertical="center"/>
    </xf>
    <xf numFmtId="0" fontId="253" fillId="0" borderId="59" xfId="0" applyFont="1" applyBorder="1" applyAlignment="1">
      <alignment vertical="center"/>
    </xf>
    <xf numFmtId="0" fontId="261" fillId="2" borderId="25" xfId="77" applyFont="1" applyFill="1" applyBorder="1" applyAlignment="1">
      <alignment horizontal="center" vertical="center" wrapText="1"/>
    </xf>
    <xf numFmtId="180" fontId="260" fillId="2" borderId="0" xfId="0" applyNumberFormat="1" applyFont="1" applyFill="1" applyAlignment="1">
      <alignment horizontal="center" vertical="center"/>
    </xf>
    <xf numFmtId="180" fontId="261" fillId="2" borderId="38" xfId="0" applyNumberFormat="1" applyFont="1" applyFill="1" applyBorder="1" applyAlignment="1">
      <alignment horizontal="center" vertical="center" wrapText="1"/>
    </xf>
    <xf numFmtId="0" fontId="260" fillId="0" borderId="60" xfId="0" applyFont="1" applyBorder="1" applyAlignment="1">
      <alignment horizontal="center" vertical="center" wrapText="1"/>
    </xf>
    <xf numFmtId="1" fontId="260" fillId="0" borderId="60" xfId="5" applyNumberFormat="1" applyFont="1" applyFill="1" applyBorder="1" applyAlignment="1">
      <alignment horizontal="center" vertical="center" wrapText="1"/>
    </xf>
    <xf numFmtId="173" fontId="260" fillId="0" borderId="60" xfId="43893" applyNumberFormat="1" applyFont="1" applyBorder="1" applyAlignment="1">
      <alignment horizontal="center" vertical="center"/>
    </xf>
    <xf numFmtId="168" fontId="66" fillId="0" borderId="60" xfId="35087" applyNumberFormat="1" applyFont="1" applyFill="1" applyBorder="1" applyAlignment="1">
      <alignment vertical="center"/>
    </xf>
    <xf numFmtId="180" fontId="260" fillId="0" borderId="60" xfId="35087" applyNumberFormat="1" applyFont="1" applyFill="1" applyBorder="1" applyAlignment="1">
      <alignment horizontal="center" vertical="center"/>
    </xf>
    <xf numFmtId="168" fontId="57" fillId="0" borderId="60" xfId="35087" applyNumberFormat="1" applyFont="1" applyFill="1" applyBorder="1" applyAlignment="1">
      <alignment vertical="center"/>
    </xf>
    <xf numFmtId="199" fontId="267" fillId="0" borderId="0" xfId="0" applyNumberFormat="1" applyFont="1" applyAlignment="1">
      <alignment horizontal="left" vertical="center"/>
    </xf>
    <xf numFmtId="204" fontId="253" fillId="0" borderId="1" xfId="0" applyNumberFormat="1" applyFont="1" applyBorder="1" applyAlignment="1">
      <alignment vertical="center"/>
    </xf>
    <xf numFmtId="221" fontId="259" fillId="0" borderId="0" xfId="1" applyNumberFormat="1" applyFont="1" applyFill="1" applyBorder="1" applyAlignment="1">
      <alignment vertical="center"/>
    </xf>
    <xf numFmtId="217" fontId="259" fillId="0" borderId="0" xfId="0" applyNumberFormat="1" applyFont="1" applyAlignment="1">
      <alignment horizontal="center" vertical="center"/>
    </xf>
    <xf numFmtId="4" fontId="316" fillId="0" borderId="0" xfId="0" applyNumberFormat="1" applyFont="1" applyAlignment="1">
      <alignment horizontal="left" vertical="center" wrapText="1"/>
    </xf>
    <xf numFmtId="0" fontId="267" fillId="0" borderId="11" xfId="0" applyFont="1" applyBorder="1" applyAlignment="1">
      <alignment horizontal="center" vertical="center" wrapText="1"/>
    </xf>
    <xf numFmtId="0" fontId="267" fillId="0" borderId="61" xfId="0" applyFont="1" applyBorder="1" applyAlignment="1">
      <alignment horizontal="center" vertical="center" wrapText="1"/>
    </xf>
    <xf numFmtId="171" fontId="259" fillId="0" borderId="0" xfId="1" applyNumberFormat="1" applyFont="1" applyFill="1" applyAlignment="1">
      <alignment vertical="center"/>
    </xf>
    <xf numFmtId="0" fontId="267" fillId="0" borderId="62" xfId="0" applyFont="1" applyBorder="1" applyAlignment="1">
      <alignment horizontal="center" vertical="center" wrapText="1"/>
    </xf>
    <xf numFmtId="0" fontId="0" fillId="0" borderId="62" xfId="0" applyBorder="1" applyAlignment="1">
      <alignment horizontal="center"/>
    </xf>
    <xf numFmtId="0" fontId="261" fillId="2" borderId="0" xfId="0" applyFont="1" applyFill="1" applyAlignment="1">
      <alignment vertical="center"/>
    </xf>
    <xf numFmtId="0" fontId="0" fillId="0" borderId="63" xfId="0" applyBorder="1" applyAlignment="1">
      <alignment horizontal="center"/>
    </xf>
    <xf numFmtId="180" fontId="259" fillId="0" borderId="23" xfId="0" applyNumberFormat="1" applyFont="1" applyBorder="1" applyAlignment="1">
      <alignment horizontal="center" vertical="center" wrapText="1"/>
    </xf>
    <xf numFmtId="0" fontId="261" fillId="0" borderId="59" xfId="0" applyFont="1" applyBorder="1" applyAlignment="1">
      <alignment horizontal="center" vertical="center" wrapText="1"/>
    </xf>
    <xf numFmtId="0" fontId="267" fillId="0" borderId="59" xfId="0" applyFont="1" applyBorder="1" applyAlignment="1">
      <alignment horizontal="center" vertical="center" wrapText="1"/>
    </xf>
    <xf numFmtId="199" fontId="260" fillId="0" borderId="59" xfId="0" applyNumberFormat="1" applyFont="1" applyBorder="1" applyAlignment="1">
      <alignment horizontal="center" vertical="center"/>
    </xf>
    <xf numFmtId="9" fontId="259" fillId="0" borderId="59" xfId="2" applyFont="1" applyFill="1" applyBorder="1" applyAlignment="1">
      <alignment horizontal="center" vertical="center" wrapText="1"/>
    </xf>
    <xf numFmtId="4" fontId="253" fillId="0" borderId="59" xfId="0" applyNumberFormat="1" applyFont="1" applyBorder="1" applyAlignment="1">
      <alignment vertical="center" wrapText="1"/>
    </xf>
    <xf numFmtId="169" fontId="253" fillId="0" borderId="59" xfId="44115" applyBorder="1" applyAlignment="1">
      <alignment vertical="center"/>
    </xf>
    <xf numFmtId="9" fontId="253" fillId="0" borderId="59" xfId="8800" applyBorder="1" applyAlignment="1">
      <alignment horizontal="center" vertical="center"/>
    </xf>
    <xf numFmtId="0" fontId="299" fillId="0" borderId="59" xfId="0" applyFont="1" applyBorder="1" applyAlignment="1">
      <alignment horizontal="center" vertical="center"/>
    </xf>
    <xf numFmtId="0" fontId="293" fillId="0" borderId="59" xfId="0" applyFont="1" applyBorder="1" applyAlignment="1">
      <alignment horizontal="center" vertical="center"/>
    </xf>
    <xf numFmtId="0" fontId="253" fillId="0" borderId="59" xfId="0" applyFont="1" applyBorder="1" applyAlignment="1">
      <alignment vertical="center" wrapText="1"/>
    </xf>
    <xf numFmtId="169" fontId="299" fillId="0" borderId="59" xfId="44115" applyFont="1" applyBorder="1" applyAlignment="1">
      <alignment vertical="center"/>
    </xf>
    <xf numFmtId="169" fontId="293" fillId="0" borderId="59" xfId="44115" applyFont="1" applyBorder="1" applyAlignment="1">
      <alignment vertical="center"/>
    </xf>
    <xf numFmtId="174" fontId="299" fillId="0" borderId="59" xfId="8800" applyNumberFormat="1" applyFont="1" applyBorder="1" applyAlignment="1">
      <alignment horizontal="center" vertical="center"/>
    </xf>
    <xf numFmtId="204" fontId="260" fillId="0" borderId="1" xfId="43893" applyNumberFormat="1" applyFont="1" applyBorder="1" applyAlignment="1">
      <alignment horizontal="center" vertical="center"/>
    </xf>
    <xf numFmtId="204" fontId="261" fillId="0" borderId="1" xfId="43893" applyNumberFormat="1" applyFont="1" applyBorder="1" applyAlignment="1">
      <alignment horizontal="center" vertical="center"/>
    </xf>
    <xf numFmtId="168" fontId="7" fillId="0" borderId="1" xfId="35087" applyNumberFormat="1" applyFont="1" applyFill="1" applyBorder="1" applyAlignment="1">
      <alignment vertical="center"/>
    </xf>
    <xf numFmtId="0" fontId="296" fillId="0" borderId="67" xfId="35058" applyFill="1" applyBorder="1"/>
    <xf numFmtId="0" fontId="258" fillId="0" borderId="10" xfId="0" applyFont="1" applyBorder="1" applyAlignment="1">
      <alignment horizontal="center" vertical="center"/>
    </xf>
    <xf numFmtId="204" fontId="260" fillId="0" borderId="1" xfId="0" applyNumberFormat="1" applyFont="1" applyBorder="1" applyAlignment="1">
      <alignment horizontal="center" vertical="center"/>
    </xf>
    <xf numFmtId="204" fontId="260" fillId="0" borderId="60" xfId="0" applyNumberFormat="1" applyFont="1" applyBorder="1" applyAlignment="1">
      <alignment horizontal="center" vertical="center"/>
    </xf>
    <xf numFmtId="49" fontId="267" fillId="2" borderId="0" xfId="0" applyNumberFormat="1" applyFont="1" applyFill="1" applyAlignment="1">
      <alignment vertical="center"/>
    </xf>
    <xf numFmtId="169" fontId="259" fillId="2" borderId="0" xfId="1" applyFont="1" applyFill="1" applyAlignment="1">
      <alignment vertical="center"/>
    </xf>
    <xf numFmtId="0" fontId="259" fillId="2" borderId="0" xfId="0" applyFont="1" applyFill="1" applyAlignment="1">
      <alignment horizontal="left" vertical="center"/>
    </xf>
    <xf numFmtId="2" fontId="259" fillId="2" borderId="0" xfId="0" applyNumberFormat="1" applyFont="1" applyFill="1" applyAlignment="1">
      <alignment vertical="center"/>
    </xf>
    <xf numFmtId="0" fontId="259" fillId="2" borderId="0" xfId="0" applyFont="1" applyFill="1" applyAlignment="1">
      <alignment horizontal="center" vertical="center"/>
    </xf>
    <xf numFmtId="168" fontId="253" fillId="2" borderId="0" xfId="0" applyNumberFormat="1" applyFont="1" applyFill="1" applyAlignment="1">
      <alignment vertical="center"/>
    </xf>
    <xf numFmtId="0" fontId="253" fillId="2" borderId="0" xfId="0" applyFont="1" applyFill="1" applyAlignment="1">
      <alignment horizontal="right" vertical="center"/>
    </xf>
    <xf numFmtId="180" fontId="253" fillId="2" borderId="0" xfId="0" applyNumberFormat="1" applyFont="1" applyFill="1" applyAlignment="1">
      <alignment vertical="center"/>
    </xf>
    <xf numFmtId="180" fontId="259" fillId="2" borderId="0" xfId="0" applyNumberFormat="1" applyFont="1" applyFill="1" applyAlignment="1">
      <alignment vertical="center"/>
    </xf>
    <xf numFmtId="0" fontId="260" fillId="0" borderId="59" xfId="0" applyFont="1" applyBorder="1" applyAlignment="1">
      <alignment horizontal="left" vertical="center" wrapText="1"/>
    </xf>
    <xf numFmtId="199" fontId="261" fillId="0" borderId="59" xfId="0" applyNumberFormat="1" applyFont="1" applyBorder="1" applyAlignment="1">
      <alignment horizontal="center" vertical="center"/>
    </xf>
    <xf numFmtId="174" fontId="267" fillId="0" borderId="59" xfId="2" applyNumberFormat="1" applyFont="1" applyFill="1" applyBorder="1" applyAlignment="1">
      <alignment horizontal="center" vertical="center" wrapText="1"/>
    </xf>
    <xf numFmtId="199" fontId="262" fillId="0" borderId="1" xfId="0" applyNumberFormat="1" applyFont="1" applyBorder="1" applyAlignment="1">
      <alignment horizontal="center" vertical="center" wrapText="1"/>
    </xf>
    <xf numFmtId="165" fontId="3" fillId="0" borderId="34" xfId="26" applyNumberFormat="1" applyFont="1" applyBorder="1" applyAlignment="1">
      <alignment horizontal="center" vertical="center" wrapText="1"/>
    </xf>
    <xf numFmtId="0" fontId="267" fillId="0" borderId="61" xfId="0" applyFont="1" applyBorder="1" applyAlignment="1">
      <alignment horizontal="center" vertical="center"/>
    </xf>
    <xf numFmtId="0" fontId="259" fillId="0" borderId="59" xfId="0" applyFont="1" applyBorder="1" applyAlignment="1">
      <alignment horizontal="center" vertical="center" wrapText="1"/>
    </xf>
    <xf numFmtId="0" fontId="259" fillId="0" borderId="56" xfId="0" applyFont="1" applyBorder="1" applyAlignment="1">
      <alignment horizontal="center" vertical="center" wrapText="1"/>
    </xf>
    <xf numFmtId="0" fontId="267" fillId="0" borderId="10" xfId="0" applyFont="1" applyBorder="1" applyAlignment="1">
      <alignment horizontal="center" vertical="center" wrapText="1"/>
    </xf>
    <xf numFmtId="0" fontId="258" fillId="0" borderId="68" xfId="0" applyFont="1" applyBorder="1" applyAlignment="1">
      <alignment horizontal="center" vertical="center"/>
    </xf>
    <xf numFmtId="0" fontId="258" fillId="0" borderId="67" xfId="0" applyFont="1" applyBorder="1" applyAlignment="1">
      <alignment horizontal="center" vertical="center"/>
    </xf>
    <xf numFmtId="0" fontId="0" fillId="0" borderId="68" xfId="0" applyBorder="1" applyAlignment="1">
      <alignment horizontal="center"/>
    </xf>
    <xf numFmtId="0" fontId="261" fillId="0" borderId="71" xfId="0" applyFont="1" applyBorder="1" applyAlignment="1">
      <alignment horizontal="center" vertical="center"/>
    </xf>
    <xf numFmtId="0" fontId="261" fillId="0" borderId="71" xfId="77" applyFont="1" applyBorder="1" applyAlignment="1">
      <alignment horizontal="center" vertical="center"/>
    </xf>
    <xf numFmtId="0" fontId="267" fillId="0" borderId="71" xfId="0" applyFont="1" applyBorder="1" applyAlignment="1">
      <alignment horizontal="center" vertical="center"/>
    </xf>
    <xf numFmtId="180" fontId="260" fillId="0" borderId="71" xfId="35087" applyNumberFormat="1" applyFont="1" applyFill="1" applyBorder="1" applyAlignment="1">
      <alignment horizontal="center" vertical="center"/>
    </xf>
    <xf numFmtId="204" fontId="260" fillId="0" borderId="71" xfId="0" applyNumberFormat="1" applyFont="1" applyBorder="1" applyAlignment="1">
      <alignment horizontal="center" vertical="center"/>
    </xf>
    <xf numFmtId="180" fontId="261" fillId="0" borderId="71" xfId="0" applyNumberFormat="1" applyFont="1" applyBorder="1" applyAlignment="1">
      <alignment horizontal="center" vertical="center"/>
    </xf>
    <xf numFmtId="204" fontId="261" fillId="0" borderId="71" xfId="5" applyNumberFormat="1" applyFont="1" applyFill="1" applyBorder="1" applyAlignment="1">
      <alignment horizontal="center" vertical="center" wrapText="1"/>
    </xf>
    <xf numFmtId="178" fontId="260" fillId="0" borderId="71" xfId="0" applyNumberFormat="1" applyFont="1" applyBorder="1" applyAlignment="1">
      <alignment horizontal="center" vertical="center"/>
    </xf>
    <xf numFmtId="178" fontId="261" fillId="0" borderId="71" xfId="0" applyNumberFormat="1" applyFont="1" applyBorder="1" applyAlignment="1">
      <alignment horizontal="center" vertical="center"/>
    </xf>
    <xf numFmtId="168" fontId="1" fillId="0" borderId="1" xfId="35087" applyNumberFormat="1" applyFont="1" applyFill="1" applyBorder="1" applyAlignment="1">
      <alignment vertical="center"/>
    </xf>
    <xf numFmtId="168" fontId="1" fillId="0" borderId="1" xfId="35088" applyNumberFormat="1" applyFont="1" applyBorder="1" applyAlignment="1">
      <alignment vertical="center"/>
    </xf>
    <xf numFmtId="0" fontId="261" fillId="2" borderId="0" xfId="0" applyFont="1" applyFill="1" applyAlignment="1">
      <alignment horizontal="left" vertical="center" wrapText="1"/>
    </xf>
    <xf numFmtId="0" fontId="261" fillId="2" borderId="0" xfId="0" applyFont="1" applyFill="1" applyAlignment="1">
      <alignment vertical="center" wrapText="1"/>
    </xf>
    <xf numFmtId="166" fontId="261" fillId="0" borderId="71" xfId="4" applyNumberFormat="1" applyFont="1" applyBorder="1" applyAlignment="1">
      <alignment horizontal="center" vertical="center" wrapText="1"/>
    </xf>
    <xf numFmtId="166" fontId="260" fillId="0" borderId="71" xfId="4" applyNumberFormat="1" applyFont="1" applyBorder="1" applyAlignment="1">
      <alignment horizontal="center" vertical="center" wrapText="1"/>
    </xf>
    <xf numFmtId="0" fontId="261" fillId="0" borderId="3" xfId="4" applyFont="1" applyBorder="1" applyAlignment="1">
      <alignment vertical="center" wrapText="1"/>
    </xf>
    <xf numFmtId="1" fontId="261" fillId="0" borderId="3" xfId="4" applyNumberFormat="1" applyFont="1" applyBorder="1" applyAlignment="1">
      <alignment vertical="center" wrapText="1"/>
    </xf>
    <xf numFmtId="1" fontId="260" fillId="0" borderId="0" xfId="4" applyNumberFormat="1" applyFont="1" applyAlignment="1">
      <alignment vertical="center" wrapText="1"/>
    </xf>
    <xf numFmtId="1" fontId="260" fillId="0" borderId="3" xfId="4" applyNumberFormat="1" applyFont="1" applyBorder="1" applyAlignment="1">
      <alignment vertical="center" wrapText="1"/>
    </xf>
    <xf numFmtId="0" fontId="260" fillId="0" borderId="0" xfId="4" applyFont="1" applyAlignment="1">
      <alignment vertical="center" wrapText="1"/>
    </xf>
    <xf numFmtId="0" fontId="261" fillId="2" borderId="0" xfId="0" applyFont="1" applyFill="1" applyAlignment="1">
      <alignment horizontal="left" vertical="center" wrapText="1"/>
    </xf>
    <xf numFmtId="0" fontId="260" fillId="0" borderId="0" xfId="4" applyFont="1" applyAlignment="1">
      <alignment horizontal="justify" vertical="center" wrapText="1"/>
    </xf>
    <xf numFmtId="0" fontId="261" fillId="0" borderId="70" xfId="4" applyFont="1" applyBorder="1" applyAlignment="1">
      <alignment horizontal="center" vertical="center" wrapText="1"/>
    </xf>
    <xf numFmtId="0" fontId="261" fillId="0" borderId="72" xfId="4" applyFont="1" applyBorder="1" applyAlignment="1">
      <alignment horizontal="center" vertical="center" wrapText="1"/>
    </xf>
    <xf numFmtId="0" fontId="261" fillId="0" borderId="73" xfId="4" applyFont="1" applyBorder="1" applyAlignment="1">
      <alignment horizontal="center" vertical="center" wrapText="1"/>
    </xf>
    <xf numFmtId="1" fontId="261" fillId="0" borderId="71" xfId="4" applyNumberFormat="1" applyFont="1" applyBorder="1" applyAlignment="1">
      <alignment horizontal="left" vertical="center" wrapText="1"/>
    </xf>
    <xf numFmtId="1" fontId="260" fillId="0" borderId="71" xfId="4" applyNumberFormat="1" applyFont="1" applyBorder="1" applyAlignment="1">
      <alignment horizontal="center" vertical="center" wrapText="1"/>
    </xf>
    <xf numFmtId="1" fontId="260" fillId="0" borderId="71" xfId="4" applyNumberFormat="1" applyFont="1" applyBorder="1" applyAlignment="1">
      <alignment horizontal="justify" vertical="center" wrapText="1"/>
    </xf>
    <xf numFmtId="49" fontId="293" fillId="0" borderId="1" xfId="0" applyNumberFormat="1" applyFont="1" applyBorder="1" applyAlignment="1">
      <alignment horizontal="center" vertical="center" wrapText="1"/>
    </xf>
    <xf numFmtId="49" fontId="261" fillId="2" borderId="64" xfId="0" applyNumberFormat="1" applyFont="1" applyFill="1" applyBorder="1" applyAlignment="1">
      <alignment horizontal="center" vertical="center" wrapText="1"/>
    </xf>
    <xf numFmtId="49" fontId="261" fillId="2" borderId="66" xfId="0" applyNumberFormat="1" applyFont="1" applyFill="1" applyBorder="1" applyAlignment="1">
      <alignment horizontal="center" vertical="center" wrapText="1"/>
    </xf>
    <xf numFmtId="49" fontId="261" fillId="0" borderId="50" xfId="0" applyNumberFormat="1" applyFont="1" applyBorder="1" applyAlignment="1">
      <alignment horizontal="center" vertical="center" wrapText="1"/>
    </xf>
    <xf numFmtId="49" fontId="261" fillId="0" borderId="53" xfId="0" applyNumberFormat="1" applyFont="1" applyBorder="1" applyAlignment="1">
      <alignment horizontal="center" vertical="center" wrapText="1"/>
    </xf>
    <xf numFmtId="0" fontId="313" fillId="31" borderId="64" xfId="0" applyFont="1" applyFill="1" applyBorder="1" applyAlignment="1">
      <alignment horizontal="center" vertical="center" wrapText="1"/>
    </xf>
    <xf numFmtId="0" fontId="313" fillId="31" borderId="66" xfId="0" applyFont="1" applyFill="1" applyBorder="1" applyAlignment="1">
      <alignment horizontal="center" vertical="center" wrapText="1"/>
    </xf>
    <xf numFmtId="49" fontId="261" fillId="0" borderId="0" xfId="0" applyNumberFormat="1" applyFont="1" applyAlignment="1">
      <alignment horizontal="center" vertical="center" wrapText="1"/>
    </xf>
    <xf numFmtId="0" fontId="293" fillId="0" borderId="0" xfId="0" applyFont="1" applyAlignment="1">
      <alignment horizontal="left" vertical="center" wrapText="1"/>
    </xf>
    <xf numFmtId="0" fontId="293" fillId="0" borderId="1" xfId="12" applyFont="1" applyBorder="1" applyAlignment="1">
      <alignment horizontal="center" vertical="center" wrapText="1"/>
    </xf>
    <xf numFmtId="0" fontId="293" fillId="0" borderId="1" xfId="0" applyFont="1" applyBorder="1" applyAlignment="1">
      <alignment horizontal="center" vertical="center" wrapText="1"/>
    </xf>
    <xf numFmtId="0" fontId="261" fillId="2" borderId="0" xfId="0" applyFont="1" applyFill="1" applyAlignment="1">
      <alignment horizontal="left" vertical="center"/>
    </xf>
    <xf numFmtId="0" fontId="261" fillId="0" borderId="0" xfId="0" applyFont="1" applyAlignment="1">
      <alignment horizontal="left" vertical="center"/>
    </xf>
    <xf numFmtId="0" fontId="267" fillId="0" borderId="50" xfId="0" applyFont="1" applyBorder="1" applyAlignment="1">
      <alignment horizontal="center" vertical="center"/>
    </xf>
    <xf numFmtId="0" fontId="267" fillId="0" borderId="53" xfId="0" applyFont="1" applyBorder="1" applyAlignment="1">
      <alignment horizontal="center" vertical="center"/>
    </xf>
    <xf numFmtId="17" fontId="261" fillId="0" borderId="50" xfId="0" applyNumberFormat="1" applyFont="1" applyBorder="1" applyAlignment="1">
      <alignment horizontal="center" vertical="center" wrapText="1"/>
    </xf>
    <xf numFmtId="17" fontId="261" fillId="0" borderId="53" xfId="0" applyNumberFormat="1" applyFont="1" applyBorder="1" applyAlignment="1">
      <alignment horizontal="center" vertical="center" wrapText="1"/>
    </xf>
    <xf numFmtId="169" fontId="267" fillId="0" borderId="64" xfId="1" applyFont="1" applyFill="1" applyBorder="1" applyAlignment="1">
      <alignment horizontal="center" vertical="center"/>
    </xf>
    <xf numFmtId="169" fontId="267" fillId="0" borderId="66" xfId="1" applyFont="1" applyFill="1" applyBorder="1" applyAlignment="1">
      <alignment horizontal="center" vertical="center"/>
    </xf>
    <xf numFmtId="17" fontId="267" fillId="0" borderId="26" xfId="0" applyNumberFormat="1" applyFont="1" applyBorder="1" applyAlignment="1">
      <alignment horizontal="center" vertical="center" wrapText="1"/>
    </xf>
    <xf numFmtId="17" fontId="267" fillId="0" borderId="2" xfId="0" applyNumberFormat="1" applyFont="1" applyBorder="1" applyAlignment="1">
      <alignment horizontal="center" vertical="center" wrapText="1"/>
    </xf>
    <xf numFmtId="0" fontId="260" fillId="0" borderId="0" xfId="0" applyFont="1" applyAlignment="1">
      <alignment horizontal="left" vertical="center" wrapText="1"/>
    </xf>
    <xf numFmtId="0" fontId="261" fillId="0" borderId="71" xfId="0" applyFont="1" applyBorder="1" applyAlignment="1">
      <alignment horizontal="center" vertical="center"/>
    </xf>
    <xf numFmtId="0" fontId="293" fillId="32" borderId="1" xfId="0" applyFont="1" applyFill="1" applyBorder="1" applyAlignment="1">
      <alignment horizontal="center" vertical="center"/>
    </xf>
    <xf numFmtId="0" fontId="267" fillId="0" borderId="0" xfId="0" applyFont="1" applyAlignment="1">
      <alignment horizontal="center" vertical="center"/>
    </xf>
    <xf numFmtId="0" fontId="294" fillId="2" borderId="0" xfId="26" applyFont="1" applyFill="1" applyAlignment="1">
      <alignment horizontal="center" vertical="center" wrapText="1"/>
    </xf>
    <xf numFmtId="0" fontId="268" fillId="0" borderId="0" xfId="26" applyFont="1" applyAlignment="1">
      <alignment horizontal="center" vertical="center" wrapText="1"/>
    </xf>
    <xf numFmtId="0" fontId="311" fillId="2" borderId="0" xfId="26" applyFont="1" applyFill="1" applyAlignment="1">
      <alignment horizontal="center" vertical="center" wrapText="1"/>
    </xf>
    <xf numFmtId="0" fontId="267" fillId="2" borderId="64" xfId="0" applyFont="1" applyFill="1" applyBorder="1" applyAlignment="1">
      <alignment horizontal="center" vertical="center"/>
    </xf>
    <xf numFmtId="0" fontId="267" fillId="2" borderId="66" xfId="0" applyFont="1" applyFill="1" applyBorder="1" applyAlignment="1">
      <alignment horizontal="center" vertical="center"/>
    </xf>
    <xf numFmtId="17" fontId="267" fillId="0" borderId="64" xfId="0" applyNumberFormat="1" applyFont="1" applyBorder="1" applyAlignment="1">
      <alignment horizontal="center" vertical="center" wrapText="1"/>
    </xf>
    <xf numFmtId="17" fontId="267" fillId="0" borderId="66" xfId="0" applyNumberFormat="1" applyFont="1" applyBorder="1" applyAlignment="1">
      <alignment horizontal="center" vertical="center" wrapText="1"/>
    </xf>
    <xf numFmtId="169" fontId="267" fillId="0" borderId="64" xfId="1" applyFont="1" applyFill="1" applyBorder="1" applyAlignment="1">
      <alignment horizontal="center" vertical="center" wrapText="1"/>
    </xf>
    <xf numFmtId="169" fontId="267" fillId="0" borderId="66" xfId="1" applyFont="1" applyFill="1" applyBorder="1" applyAlignment="1">
      <alignment horizontal="center" vertical="center" wrapText="1"/>
    </xf>
    <xf numFmtId="0" fontId="313" fillId="31" borderId="57" xfId="0" applyFont="1" applyFill="1" applyBorder="1" applyAlignment="1">
      <alignment horizontal="center" vertical="center" wrapText="1"/>
    </xf>
    <xf numFmtId="0" fontId="313" fillId="31" borderId="31" xfId="0" applyFont="1" applyFill="1" applyBorder="1" applyAlignment="1">
      <alignment horizontal="center" vertical="center" wrapText="1"/>
    </xf>
    <xf numFmtId="0" fontId="260" fillId="0" borderId="0" xfId="4" applyFont="1" applyAlignment="1">
      <alignment horizontal="left" vertical="center" wrapText="1"/>
    </xf>
    <xf numFmtId="0" fontId="57" fillId="0" borderId="63" xfId="35087" applyFont="1" applyFill="1" applyBorder="1" applyAlignment="1">
      <alignment horizontal="center" vertical="center" wrapText="1"/>
    </xf>
    <xf numFmtId="0" fontId="57" fillId="0" borderId="10" xfId="35087" applyFont="1" applyFill="1" applyBorder="1" applyAlignment="1">
      <alignment horizontal="center" vertical="center" wrapText="1"/>
    </xf>
    <xf numFmtId="0" fontId="261" fillId="0" borderId="50" xfId="0" applyFont="1" applyBorder="1" applyAlignment="1">
      <alignment horizontal="center" vertical="center" wrapText="1"/>
    </xf>
    <xf numFmtId="0" fontId="261" fillId="0" borderId="52" xfId="0" applyFont="1" applyBorder="1" applyAlignment="1">
      <alignment horizontal="center" vertical="center" wrapText="1"/>
    </xf>
    <xf numFmtId="0" fontId="261" fillId="0" borderId="65" xfId="0" applyFont="1" applyBorder="1" applyAlignment="1">
      <alignment horizontal="center" vertical="center" wrapText="1"/>
    </xf>
    <xf numFmtId="0" fontId="261" fillId="0" borderId="66" xfId="0" applyFont="1" applyBorder="1" applyAlignment="1">
      <alignment horizontal="center" vertical="center" wrapText="1"/>
    </xf>
    <xf numFmtId="0" fontId="259" fillId="0" borderId="0" xfId="35075" applyFont="1" applyFill="1" applyBorder="1" applyAlignment="1">
      <alignment horizontal="center" vertical="center" wrapText="1"/>
    </xf>
    <xf numFmtId="0" fontId="253" fillId="0" borderId="0" xfId="35075" applyFont="1" applyFill="1" applyBorder="1" applyAlignment="1">
      <alignment horizontal="center" vertical="center"/>
    </xf>
    <xf numFmtId="0" fontId="66" fillId="0" borderId="55" xfId="35087" applyFont="1" applyFill="1" applyBorder="1" applyAlignment="1">
      <alignment horizontal="center" vertical="center" wrapText="1"/>
    </xf>
    <xf numFmtId="0" fontId="66" fillId="0" borderId="10" xfId="35087" applyFont="1" applyFill="1" applyBorder="1" applyAlignment="1">
      <alignment horizontal="center" vertical="center" wrapText="1"/>
    </xf>
    <xf numFmtId="0" fontId="66" fillId="0" borderId="63" xfId="35087" applyFont="1" applyFill="1" applyBorder="1" applyAlignment="1">
      <alignment horizontal="center" vertical="center" wrapText="1"/>
    </xf>
    <xf numFmtId="0" fontId="261" fillId="0" borderId="64" xfId="0" applyFont="1" applyBorder="1" applyAlignment="1">
      <alignment horizontal="center" vertical="center" wrapText="1"/>
    </xf>
    <xf numFmtId="0" fontId="66" fillId="0" borderId="27" xfId="35087" applyFont="1" applyFill="1" applyBorder="1" applyAlignment="1">
      <alignment horizontal="center" vertical="center" wrapText="1"/>
    </xf>
    <xf numFmtId="49" fontId="261" fillId="0" borderId="52" xfId="0" applyNumberFormat="1" applyFont="1" applyBorder="1" applyAlignment="1">
      <alignment horizontal="center" vertical="center" wrapText="1"/>
    </xf>
    <xf numFmtId="49" fontId="261" fillId="0" borderId="64" xfId="0" applyNumberFormat="1" applyFont="1" applyBorder="1" applyAlignment="1">
      <alignment horizontal="center" vertical="center" wrapText="1"/>
    </xf>
    <xf numFmtId="49" fontId="261" fillId="0" borderId="65" xfId="0" applyNumberFormat="1" applyFont="1" applyBorder="1" applyAlignment="1">
      <alignment horizontal="center" vertical="center" wrapText="1"/>
    </xf>
    <xf numFmtId="49" fontId="261" fillId="0" borderId="66" xfId="0" applyNumberFormat="1" applyFont="1" applyBorder="1" applyAlignment="1">
      <alignment horizontal="center" vertical="center" wrapText="1"/>
    </xf>
    <xf numFmtId="0" fontId="261" fillId="0" borderId="47" xfId="0" applyFont="1" applyBorder="1" applyAlignment="1">
      <alignment horizontal="center" vertical="center" wrapText="1"/>
    </xf>
    <xf numFmtId="0" fontId="261" fillId="0" borderId="10" xfId="0" applyFont="1" applyBorder="1" applyAlignment="1">
      <alignment horizontal="center" vertical="center" wrapText="1"/>
    </xf>
    <xf numFmtId="0" fontId="261" fillId="0" borderId="53" xfId="0" applyFont="1" applyBorder="1" applyAlignment="1">
      <alignment horizontal="center" vertical="center" wrapText="1"/>
    </xf>
    <xf numFmtId="0" fontId="267" fillId="2" borderId="3" xfId="0" applyFont="1" applyFill="1" applyBorder="1" applyAlignment="1">
      <alignment horizontal="center" vertical="center"/>
    </xf>
    <xf numFmtId="0" fontId="267" fillId="2" borderId="0" xfId="0" applyFont="1" applyFill="1" applyAlignment="1">
      <alignment horizontal="center" vertical="center"/>
    </xf>
    <xf numFmtId="0" fontId="267" fillId="2" borderId="69" xfId="0" applyFont="1" applyFill="1" applyBorder="1" applyAlignment="1">
      <alignment horizontal="center" vertical="center"/>
    </xf>
    <xf numFmtId="0" fontId="267" fillId="2" borderId="7" xfId="0" applyFont="1" applyFill="1" applyBorder="1" applyAlignment="1">
      <alignment horizontal="center" vertical="center"/>
    </xf>
    <xf numFmtId="0" fontId="267" fillId="2" borderId="5" xfId="0" applyFont="1" applyFill="1" applyBorder="1" applyAlignment="1">
      <alignment horizontal="center" vertical="center"/>
    </xf>
    <xf numFmtId="0" fontId="267" fillId="2" borderId="6" xfId="0" applyFont="1" applyFill="1" applyBorder="1" applyAlignment="1">
      <alignment horizontal="center" vertical="center"/>
    </xf>
  </cellXfs>
  <cellStyles count="44416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53" xfId="44412" xr:uid="{7678A6A3-1A49-49CC-87DF-D7B9A88284DA}"/>
    <cellStyle name="Millares 154" xfId="44415" xr:uid="{FEAE3397-E270-4971-8834-406FB94C21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25" xfId="44411" xr:uid="{9178A0FD-1C9E-4C7B-9314-C6A4B6B98FDC}"/>
    <cellStyle name="Normal 226" xfId="44413" xr:uid="{2280A4DE-493C-471F-82B2-B2D8AED6010B}"/>
    <cellStyle name="Normal 227" xfId="44414" xr:uid="{4D5735E3-CFCC-475A-A31E-390D4F2A8759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21</c:v>
                </c:pt>
                <c:pt idx="1">
                  <c:v>99</c:v>
                </c:pt>
                <c:pt idx="2">
                  <c:v>154</c:v>
                </c:pt>
                <c:pt idx="3">
                  <c:v>90</c:v>
                </c:pt>
                <c:pt idx="4">
                  <c:v>90</c:v>
                </c:pt>
                <c:pt idx="5">
                  <c:v>167</c:v>
                </c:pt>
                <c:pt idx="6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257</c:v>
                </c:pt>
                <c:pt idx="1">
                  <c:v>333</c:v>
                </c:pt>
                <c:pt idx="2">
                  <c:v>498</c:v>
                </c:pt>
                <c:pt idx="3">
                  <c:v>270</c:v>
                </c:pt>
                <c:pt idx="4">
                  <c:v>678</c:v>
                </c:pt>
                <c:pt idx="5">
                  <c:v>649</c:v>
                </c:pt>
                <c:pt idx="6">
                  <c:v>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682</c:v>
                </c:pt>
                <c:pt idx="1">
                  <c:v>2296</c:v>
                </c:pt>
                <c:pt idx="2">
                  <c:v>188</c:v>
                </c:pt>
                <c:pt idx="3">
                  <c:v>225</c:v>
                </c:pt>
                <c:pt idx="4">
                  <c:v>78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1868</c:v>
                </c:pt>
                <c:pt idx="1">
                  <c:v>1371</c:v>
                </c:pt>
                <c:pt idx="2">
                  <c:v>230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Abril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Abril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181</c:v>
                </c:pt>
                <c:pt idx="1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Abril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657</c:v>
                </c:pt>
                <c:pt idx="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Abril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8.408044198895027</c:v>
                </c:pt>
                <c:pt idx="1">
                  <c:v>20.727940397974137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Abril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9.2781278538812781</c:v>
                </c:pt>
                <c:pt idx="1">
                  <c:v>24.477884809999999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4"/>
                <c:pt idx="0">
                  <c:v>10</c:v>
                </c:pt>
                <c:pt idx="1">
                  <c:v>9</c:v>
                </c:pt>
                <c:pt idx="2">
                  <c:v>71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30/04/2025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515</c:v>
                </c:pt>
                <c:pt idx="1">
                  <c:v>720</c:v>
                </c:pt>
                <c:pt idx="2">
                  <c:v>16</c:v>
                </c:pt>
                <c:pt idx="3">
                  <c:v>111</c:v>
                </c:pt>
                <c:pt idx="4">
                  <c:v>13</c:v>
                </c:pt>
                <c:pt idx="5">
                  <c:v>83</c:v>
                </c:pt>
                <c:pt idx="6">
                  <c:v>144</c:v>
                </c:pt>
                <c:pt idx="7">
                  <c:v>129</c:v>
                </c:pt>
                <c:pt idx="8">
                  <c:v>121</c:v>
                </c:pt>
                <c:pt idx="9">
                  <c:v>65</c:v>
                </c:pt>
                <c:pt idx="10">
                  <c:v>0</c:v>
                </c:pt>
                <c:pt idx="11">
                  <c:v>8</c:v>
                </c:pt>
                <c:pt idx="12">
                  <c:v>4</c:v>
                </c:pt>
                <c:pt idx="13">
                  <c:v>24</c:v>
                </c:pt>
                <c:pt idx="14">
                  <c:v>37</c:v>
                </c:pt>
                <c:pt idx="15">
                  <c:v>40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52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30/04/2024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582</c:v>
                </c:pt>
                <c:pt idx="1">
                  <c:v>347</c:v>
                </c:pt>
                <c:pt idx="2">
                  <c:v>19</c:v>
                </c:pt>
                <c:pt idx="3">
                  <c:v>29</c:v>
                </c:pt>
                <c:pt idx="4">
                  <c:v>9</c:v>
                </c:pt>
                <c:pt idx="5">
                  <c:v>55</c:v>
                </c:pt>
                <c:pt idx="6">
                  <c:v>89</c:v>
                </c:pt>
                <c:pt idx="7">
                  <c:v>89</c:v>
                </c:pt>
                <c:pt idx="8">
                  <c:v>97</c:v>
                </c:pt>
                <c:pt idx="9">
                  <c:v>36</c:v>
                </c:pt>
                <c:pt idx="10">
                  <c:v>83</c:v>
                </c:pt>
                <c:pt idx="11">
                  <c:v>5</c:v>
                </c:pt>
                <c:pt idx="12">
                  <c:v>4</c:v>
                </c:pt>
                <c:pt idx="13">
                  <c:v>27</c:v>
                </c:pt>
                <c:pt idx="14">
                  <c:v>57</c:v>
                </c:pt>
                <c:pt idx="15">
                  <c:v>22</c:v>
                </c:pt>
                <c:pt idx="16">
                  <c:v>0</c:v>
                </c:pt>
                <c:pt idx="17">
                  <c:v>6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29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Abril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1947.24</c:v>
                </c:pt>
                <c:pt idx="1">
                  <c:v>8334.0469999999987</c:v>
                </c:pt>
                <c:pt idx="2">
                  <c:v>957.61500000000001</c:v>
                </c:pt>
                <c:pt idx="3">
                  <c:v>341.51499999999999</c:v>
                </c:pt>
                <c:pt idx="4">
                  <c:v>878.43499999999995</c:v>
                </c:pt>
                <c:pt idx="5">
                  <c:v>12458.851999999997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Abril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5093.31572598</c:v>
                </c:pt>
                <c:pt idx="1">
                  <c:v>1310.0137852600001</c:v>
                </c:pt>
                <c:pt idx="2">
                  <c:v>0</c:v>
                </c:pt>
                <c:pt idx="3">
                  <c:v>18.152577879999999</c:v>
                </c:pt>
                <c:pt idx="4">
                  <c:v>205.21049823999999</c:v>
                </c:pt>
                <c:pt idx="5">
                  <c:v>10925.66932651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149</c:v>
                </c:pt>
                <c:pt idx="1">
                  <c:v>437</c:v>
                </c:pt>
                <c:pt idx="2">
                  <c:v>1214</c:v>
                </c:pt>
                <c:pt idx="3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30/04/2025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813</c:v>
                </c:pt>
                <c:pt idx="1">
                  <c:v>921</c:v>
                </c:pt>
                <c:pt idx="2">
                  <c:v>10</c:v>
                </c:pt>
                <c:pt idx="3">
                  <c:v>148</c:v>
                </c:pt>
                <c:pt idx="4">
                  <c:v>10</c:v>
                </c:pt>
                <c:pt idx="5">
                  <c:v>97</c:v>
                </c:pt>
                <c:pt idx="6">
                  <c:v>306</c:v>
                </c:pt>
                <c:pt idx="7">
                  <c:v>191</c:v>
                </c:pt>
                <c:pt idx="8">
                  <c:v>191</c:v>
                </c:pt>
                <c:pt idx="9">
                  <c:v>121</c:v>
                </c:pt>
                <c:pt idx="10">
                  <c:v>0</c:v>
                </c:pt>
                <c:pt idx="11">
                  <c:v>11</c:v>
                </c:pt>
                <c:pt idx="12">
                  <c:v>12</c:v>
                </c:pt>
                <c:pt idx="13">
                  <c:v>147</c:v>
                </c:pt>
                <c:pt idx="14">
                  <c:v>132</c:v>
                </c:pt>
                <c:pt idx="15">
                  <c:v>136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58</c:v>
                </c:pt>
                <c:pt idx="23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30/04/2024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611</c:v>
                </c:pt>
                <c:pt idx="1">
                  <c:v>805</c:v>
                </c:pt>
                <c:pt idx="2">
                  <c:v>17</c:v>
                </c:pt>
                <c:pt idx="3">
                  <c:v>105</c:v>
                </c:pt>
                <c:pt idx="4">
                  <c:v>13</c:v>
                </c:pt>
                <c:pt idx="5">
                  <c:v>61</c:v>
                </c:pt>
                <c:pt idx="6">
                  <c:v>151</c:v>
                </c:pt>
                <c:pt idx="7">
                  <c:v>246</c:v>
                </c:pt>
                <c:pt idx="8">
                  <c:v>189</c:v>
                </c:pt>
                <c:pt idx="9">
                  <c:v>99</c:v>
                </c:pt>
                <c:pt idx="10">
                  <c:v>36</c:v>
                </c:pt>
                <c:pt idx="11">
                  <c:v>6</c:v>
                </c:pt>
                <c:pt idx="12">
                  <c:v>23</c:v>
                </c:pt>
                <c:pt idx="13">
                  <c:v>46</c:v>
                </c:pt>
                <c:pt idx="14">
                  <c:v>92</c:v>
                </c:pt>
                <c:pt idx="15">
                  <c:v>58</c:v>
                </c:pt>
                <c:pt idx="16">
                  <c:v>3</c:v>
                </c:pt>
                <c:pt idx="17">
                  <c:v>5</c:v>
                </c:pt>
                <c:pt idx="18">
                  <c:v>7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42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95E4405-81F1-4B30-8FBE-1847B879340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3A87000-1BCE-401C-AB7C-6C8F30142B5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F8B0FF0-5A90-4823-860E-DCFD6271DCD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CA41CDD-14C3-4698-B157-C5027E30597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5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3149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2025'!$X$627:$X$641</c15:f>
                <c15:dlblRangeCache>
                  <c:ptCount val="6"/>
                  <c:pt idx="0">
                    <c:v>2,2%</c:v>
                  </c:pt>
                  <c:pt idx="1">
                    <c:v>1,9%</c:v>
                  </c:pt>
                  <c:pt idx="2">
                    <c:v>2,4%</c:v>
                  </c:pt>
                  <c:pt idx="3">
                    <c:v>2,7%</c:v>
                  </c:pt>
                  <c:pt idx="5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5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320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2025'!$Y$627:$Y$641</c15:f>
                <c15:dlblRangeCache>
                  <c:ptCount val="6"/>
                  <c:pt idx="5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4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5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3149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5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980</c:v>
                </c:pt>
                <c:pt idx="1">
                  <c:v>1047</c:v>
                </c:pt>
                <c:pt idx="2">
                  <c:v>1442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2191</c:v>
                </c:pt>
                <c:pt idx="1">
                  <c:v>31</c:v>
                </c:pt>
                <c:pt idx="2">
                  <c:v>1247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1348</c:v>
                </c:pt>
                <c:pt idx="1">
                  <c:v>551</c:v>
                </c:pt>
                <c:pt idx="2">
                  <c:v>279</c:v>
                </c:pt>
                <c:pt idx="3">
                  <c:v>302</c:v>
                </c:pt>
                <c:pt idx="4">
                  <c:v>131</c:v>
                </c:pt>
                <c:pt idx="5">
                  <c:v>109</c:v>
                </c:pt>
                <c:pt idx="6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1916</c:v>
                </c:pt>
                <c:pt idx="1">
                  <c:v>685</c:v>
                </c:pt>
                <c:pt idx="2">
                  <c:v>279</c:v>
                </c:pt>
                <c:pt idx="3">
                  <c:v>302</c:v>
                </c:pt>
                <c:pt idx="4">
                  <c:v>131</c:v>
                </c:pt>
                <c:pt idx="5">
                  <c:v>109</c:v>
                </c:pt>
                <c:pt idx="6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568</c:v>
                </c:pt>
                <c:pt idx="1">
                  <c:v>134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21.48250233029411</c:v>
                </c:pt>
                <c:pt idx="1">
                  <c:v>30.894440651487606</c:v>
                </c:pt>
                <c:pt idx="2">
                  <c:v>19.318269961351362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236</c:v>
                </c:pt>
                <c:pt idx="1">
                  <c:v>234</c:v>
                </c:pt>
                <c:pt idx="2">
                  <c:v>344</c:v>
                </c:pt>
                <c:pt idx="3">
                  <c:v>180</c:v>
                </c:pt>
                <c:pt idx="4">
                  <c:v>588</c:v>
                </c:pt>
                <c:pt idx="5">
                  <c:v>482</c:v>
                </c:pt>
                <c:pt idx="6">
                  <c:v>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624</xdr:row>
      <xdr:rowOff>6239</xdr:rowOff>
    </xdr:from>
    <xdr:to>
      <xdr:col>4</xdr:col>
      <xdr:colOff>0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834571</xdr:colOff>
      <xdr:row>620</xdr:row>
      <xdr:rowOff>156935</xdr:rowOff>
    </xdr:from>
    <xdr:to>
      <xdr:col>7</xdr:col>
      <xdr:colOff>907142</xdr:colOff>
      <xdr:row>647</xdr:row>
      <xdr:rowOff>124278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0" zoomScale="80" zoomScaleNormal="80" zoomScaleSheetLayoutView="85" workbookViewId="0">
      <selection activeCell="B38" sqref="B38"/>
    </sheetView>
  </sheetViews>
  <sheetFormatPr baseColWidth="10" defaultColWidth="0" defaultRowHeight="13" x14ac:dyDescent="0.3"/>
  <cols>
    <col min="1" max="1" width="1.7265625" style="39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9" hidden="1"/>
  </cols>
  <sheetData>
    <row r="1" spans="2:2" s="157" customFormat="1" ht="15.75" customHeight="1" x14ac:dyDescent="0.25">
      <c r="B1" s="156" t="s">
        <v>0</v>
      </c>
    </row>
    <row r="2" spans="2:2" s="157" customFormat="1" ht="15.75" customHeight="1" x14ac:dyDescent="0.25">
      <c r="B2" s="158" t="s">
        <v>251</v>
      </c>
    </row>
    <row r="3" spans="2:2" s="157" customFormat="1" ht="15.75" customHeight="1" x14ac:dyDescent="0.25">
      <c r="B3" s="158" t="s">
        <v>428</v>
      </c>
    </row>
    <row r="4" spans="2:2" s="157" customFormat="1" ht="15.75" customHeight="1" thickBot="1" x14ac:dyDescent="0.3">
      <c r="B4" s="159"/>
    </row>
    <row r="5" spans="2:2" s="157" customFormat="1" ht="17.25" customHeight="1" thickBot="1" x14ac:dyDescent="0.3">
      <c r="B5" s="160" t="s">
        <v>174</v>
      </c>
    </row>
    <row r="6" spans="2:2" s="157" customFormat="1" thickBot="1" x14ac:dyDescent="0.3">
      <c r="B6" s="159"/>
    </row>
    <row r="7" spans="2:2" s="157" customFormat="1" ht="13.5" thickBot="1" x14ac:dyDescent="0.35">
      <c r="B7" s="123" t="s">
        <v>175</v>
      </c>
    </row>
    <row r="8" spans="2:2" x14ac:dyDescent="0.3">
      <c r="B8" s="120"/>
    </row>
    <row r="9" spans="2:2" x14ac:dyDescent="0.3">
      <c r="B9" s="600" t="s">
        <v>149</v>
      </c>
    </row>
    <row r="10" spans="2:2" x14ac:dyDescent="0.3">
      <c r="B10" s="356" t="s">
        <v>150</v>
      </c>
    </row>
    <row r="11" spans="2:2" x14ac:dyDescent="0.3">
      <c r="B11" s="356" t="s">
        <v>151</v>
      </c>
    </row>
    <row r="12" spans="2:2" x14ac:dyDescent="0.3">
      <c r="B12" s="356" t="s">
        <v>152</v>
      </c>
    </row>
    <row r="13" spans="2:2" x14ac:dyDescent="0.3">
      <c r="B13" s="356" t="s">
        <v>154</v>
      </c>
    </row>
    <row r="14" spans="2:2" x14ac:dyDescent="0.3">
      <c r="B14" s="356" t="s">
        <v>155</v>
      </c>
    </row>
    <row r="15" spans="2:2" x14ac:dyDescent="0.3">
      <c r="B15" s="356" t="s">
        <v>156</v>
      </c>
    </row>
    <row r="16" spans="2:2" x14ac:dyDescent="0.3">
      <c r="B16" s="356" t="s">
        <v>157</v>
      </c>
    </row>
    <row r="17" spans="2:2" x14ac:dyDescent="0.3">
      <c r="B17" s="356" t="s">
        <v>158</v>
      </c>
    </row>
    <row r="18" spans="2:2" x14ac:dyDescent="0.3">
      <c r="B18" s="356" t="s">
        <v>185</v>
      </c>
    </row>
    <row r="19" spans="2:2" x14ac:dyDescent="0.3">
      <c r="B19" s="356" t="s">
        <v>186</v>
      </c>
    </row>
    <row r="20" spans="2:2" x14ac:dyDescent="0.3">
      <c r="B20" s="356" t="s">
        <v>162</v>
      </c>
    </row>
    <row r="21" spans="2:2" x14ac:dyDescent="0.3">
      <c r="B21" s="356" t="s">
        <v>163</v>
      </c>
    </row>
    <row r="22" spans="2:2" x14ac:dyDescent="0.3">
      <c r="B22" s="356" t="s">
        <v>164</v>
      </c>
    </row>
    <row r="23" spans="2:2" x14ac:dyDescent="0.3">
      <c r="B23" s="356" t="s">
        <v>176</v>
      </c>
    </row>
    <row r="24" spans="2:2" x14ac:dyDescent="0.3">
      <c r="B24" s="356" t="s">
        <v>234</v>
      </c>
    </row>
    <row r="25" spans="2:2" x14ac:dyDescent="0.3">
      <c r="B25" s="356" t="s">
        <v>169</v>
      </c>
    </row>
    <row r="26" spans="2:2" x14ac:dyDescent="0.3">
      <c r="B26" s="356" t="s">
        <v>170</v>
      </c>
    </row>
    <row r="27" spans="2:2" x14ac:dyDescent="0.3">
      <c r="B27" s="356" t="s">
        <v>173</v>
      </c>
    </row>
    <row r="28" spans="2:2" x14ac:dyDescent="0.3">
      <c r="B28" s="356" t="s">
        <v>307</v>
      </c>
    </row>
    <row r="29" spans="2:2" x14ac:dyDescent="0.3">
      <c r="B29" s="356" t="s">
        <v>243</v>
      </c>
    </row>
    <row r="30" spans="2:2" x14ac:dyDescent="0.3">
      <c r="B30" s="356" t="s">
        <v>262</v>
      </c>
    </row>
    <row r="31" spans="2:2" x14ac:dyDescent="0.3">
      <c r="B31" s="356" t="s">
        <v>263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opLeftCell="B216" zoomScaleNormal="100" zoomScaleSheetLayoutView="40" workbookViewId="0">
      <selection activeCell="B166" sqref="B166:E166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7" customWidth="1"/>
    <col min="4" max="4" width="27.7265625" style="367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3" customWidth="1"/>
    <col min="24" max="24" width="35" style="151" customWidth="1"/>
    <col min="25" max="25" width="19.7265625" style="151" customWidth="1"/>
    <col min="26" max="26" width="24.453125" style="151" customWidth="1"/>
    <col min="27" max="27" width="23.453125" style="151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60" t="s">
        <v>0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297"/>
      <c r="O1" s="297"/>
      <c r="Q1" s="298"/>
      <c r="R1" s="298"/>
      <c r="S1" s="298"/>
      <c r="T1" s="298"/>
      <c r="U1" s="298"/>
      <c r="V1" s="298"/>
      <c r="W1" s="299"/>
      <c r="X1" s="300"/>
      <c r="Y1" s="300"/>
      <c r="Z1" s="299"/>
      <c r="AA1" s="300"/>
      <c r="AC1" s="301"/>
    </row>
    <row r="2" spans="1:35" s="2" customFormat="1" ht="18" customHeight="1" x14ac:dyDescent="0.25">
      <c r="A2" s="660" t="s">
        <v>251</v>
      </c>
      <c r="B2" s="660"/>
      <c r="C2" s="660"/>
      <c r="D2" s="660"/>
      <c r="E2" s="660"/>
      <c r="F2" s="660"/>
      <c r="G2" s="660"/>
      <c r="H2" s="660"/>
      <c r="I2" s="660"/>
      <c r="J2" s="660"/>
      <c r="K2" s="660"/>
      <c r="L2" s="660"/>
      <c r="M2" s="660"/>
      <c r="N2" s="297"/>
      <c r="O2" s="297"/>
      <c r="Q2" s="298"/>
      <c r="R2" s="298"/>
      <c r="S2" s="298"/>
      <c r="T2" s="298"/>
      <c r="U2" s="298"/>
      <c r="V2" s="298"/>
      <c r="W2" s="299"/>
      <c r="X2" s="300"/>
      <c r="Y2" s="300"/>
      <c r="Z2" s="299"/>
      <c r="AA2" s="300"/>
      <c r="AC2" s="301"/>
    </row>
    <row r="3" spans="1:35" s="2" customFormat="1" ht="18" customHeight="1" x14ac:dyDescent="0.25">
      <c r="A3" s="660" t="s">
        <v>428</v>
      </c>
      <c r="B3" s="660"/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297"/>
      <c r="O3" s="297"/>
      <c r="P3" s="298"/>
      <c r="Q3" s="298"/>
      <c r="R3" s="298"/>
      <c r="S3" s="298"/>
      <c r="T3" s="298"/>
      <c r="U3" s="298"/>
      <c r="V3" s="298"/>
      <c r="W3" s="299"/>
      <c r="X3" s="300"/>
      <c r="Y3" s="300"/>
      <c r="Z3" s="299"/>
      <c r="AA3" s="300"/>
      <c r="AC3" s="301"/>
    </row>
    <row r="4" spans="1:35" s="2" customFormat="1" ht="18" customHeight="1" x14ac:dyDescent="0.25">
      <c r="A4" s="660" t="s">
        <v>1</v>
      </c>
      <c r="B4" s="660"/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297"/>
      <c r="O4" s="297"/>
      <c r="P4" s="298"/>
      <c r="Q4" s="298"/>
      <c r="R4" s="298"/>
      <c r="S4" s="298"/>
      <c r="T4" s="298"/>
      <c r="U4" s="298"/>
      <c r="V4" s="298"/>
      <c r="W4" s="299"/>
      <c r="X4" s="300"/>
      <c r="Y4" s="300"/>
      <c r="Z4" s="299"/>
      <c r="AA4" s="300"/>
      <c r="AC4" s="301"/>
    </row>
    <row r="5" spans="1:35" x14ac:dyDescent="0.25">
      <c r="A5" s="9"/>
      <c r="B5" s="441"/>
      <c r="E5" s="441"/>
      <c r="F5" s="1"/>
      <c r="I5" s="1"/>
      <c r="J5" s="1"/>
      <c r="K5" s="1"/>
      <c r="L5" s="1"/>
      <c r="M5" s="57"/>
      <c r="N5" s="1"/>
      <c r="O5" s="1"/>
      <c r="P5" s="57"/>
      <c r="Z5" s="163"/>
      <c r="AC5" s="16"/>
    </row>
    <row r="6" spans="1:35" x14ac:dyDescent="0.25">
      <c r="A6" s="9"/>
      <c r="B6" s="441"/>
      <c r="E6" s="441"/>
      <c r="F6" s="1"/>
      <c r="I6" s="1"/>
      <c r="J6" s="1"/>
      <c r="K6" s="1"/>
      <c r="L6" s="1"/>
      <c r="M6" s="57"/>
      <c r="N6" s="1"/>
      <c r="O6" s="1"/>
      <c r="P6" s="57"/>
      <c r="Z6" s="163"/>
      <c r="AC6" s="16"/>
    </row>
    <row r="7" spans="1:35" x14ac:dyDescent="0.25">
      <c r="A7" s="9"/>
      <c r="B7" s="441"/>
      <c r="E7" s="441"/>
      <c r="F7" s="1"/>
      <c r="I7" s="1"/>
      <c r="J7" s="1"/>
      <c r="K7" s="1"/>
      <c r="L7" s="1"/>
      <c r="M7" s="57"/>
      <c r="N7" s="1"/>
      <c r="O7" s="1"/>
      <c r="P7" s="1"/>
      <c r="Z7" s="163"/>
      <c r="AC7" s="16"/>
    </row>
    <row r="8" spans="1:35" x14ac:dyDescent="0.25">
      <c r="A8" s="9"/>
      <c r="B8" s="441"/>
      <c r="E8" s="441"/>
      <c r="F8" s="1"/>
      <c r="I8" s="1"/>
      <c r="J8" s="1"/>
      <c r="K8" s="1"/>
      <c r="L8" s="1"/>
      <c r="M8" s="57"/>
      <c r="N8" s="1"/>
      <c r="O8" s="1"/>
      <c r="P8" s="1"/>
      <c r="Z8" s="163"/>
      <c r="AC8" s="16"/>
    </row>
    <row r="9" spans="1:35" x14ac:dyDescent="0.25">
      <c r="A9" s="9" t="s">
        <v>222</v>
      </c>
      <c r="B9" s="441"/>
      <c r="E9" s="441"/>
      <c r="F9" s="1"/>
      <c r="I9" s="1"/>
      <c r="J9" s="1"/>
      <c r="K9" s="1"/>
      <c r="L9" s="1"/>
      <c r="M9" s="57"/>
      <c r="N9" s="1"/>
      <c r="O9" s="1"/>
      <c r="P9" s="1"/>
      <c r="Z9" s="163"/>
      <c r="AC9" s="16"/>
    </row>
    <row r="10" spans="1:35" ht="15" customHeight="1" x14ac:dyDescent="0.25">
      <c r="A10" s="15"/>
      <c r="Z10" s="163"/>
      <c r="AC10" s="16"/>
    </row>
    <row r="11" spans="1:35" ht="27" customHeight="1" x14ac:dyDescent="0.25">
      <c r="A11" s="26"/>
      <c r="B11" s="645" t="s">
        <v>149</v>
      </c>
      <c r="C11" s="645"/>
      <c r="D11" s="645"/>
      <c r="E11" s="637"/>
      <c r="Y11" s="164"/>
      <c r="Z11" s="163"/>
      <c r="AC11" s="16"/>
    </row>
    <row r="12" spans="1:35" x14ac:dyDescent="0.25">
      <c r="A12" s="15"/>
      <c r="I12" s="3"/>
      <c r="J12" s="3"/>
      <c r="Y12" s="164"/>
      <c r="Z12" s="163"/>
      <c r="AC12" s="16"/>
    </row>
    <row r="13" spans="1:35" ht="15" customHeight="1" x14ac:dyDescent="0.35">
      <c r="A13" s="15"/>
      <c r="B13" s="424" t="s">
        <v>2</v>
      </c>
      <c r="C13" s="368" t="s">
        <v>3</v>
      </c>
      <c r="D13" s="422" t="s">
        <v>96</v>
      </c>
      <c r="E13" s="391"/>
      <c r="F13" s="3"/>
      <c r="G13" s="3"/>
      <c r="K13" s="22"/>
      <c r="M13" s="19"/>
      <c r="O13" s="22"/>
      <c r="P13" s="22"/>
      <c r="U13" s="163"/>
      <c r="V13" s="252" t="s">
        <v>4</v>
      </c>
      <c r="W13" s="252" t="s">
        <v>5</v>
      </c>
      <c r="X13" s="252" t="s">
        <v>43</v>
      </c>
      <c r="Y13" s="165"/>
      <c r="Z13" s="19"/>
      <c r="AA13" s="16"/>
      <c r="AG13" s="108"/>
      <c r="AH13" s="108"/>
      <c r="AI13" s="108"/>
    </row>
    <row r="14" spans="1:35" ht="15" customHeight="1" x14ac:dyDescent="0.35">
      <c r="A14" s="15"/>
      <c r="B14" s="369" t="s">
        <v>211</v>
      </c>
      <c r="C14" s="370">
        <v>1348</v>
      </c>
      <c r="D14" s="371">
        <v>13037218000</v>
      </c>
      <c r="E14" s="391"/>
      <c r="F14" s="3"/>
      <c r="G14" s="3"/>
      <c r="K14" s="22"/>
      <c r="M14" s="19"/>
      <c r="N14" s="24"/>
      <c r="O14" s="22"/>
      <c r="P14" s="22"/>
      <c r="U14" s="166">
        <f>W14/W21</f>
        <v>0.46863468634686345</v>
      </c>
      <c r="V14" s="369" t="s">
        <v>211</v>
      </c>
      <c r="W14" s="370">
        <v>635</v>
      </c>
      <c r="X14" s="371">
        <v>6122297000</v>
      </c>
      <c r="Y14" s="255"/>
      <c r="Z14" s="19"/>
      <c r="AA14" s="16"/>
      <c r="AG14" s="109"/>
      <c r="AH14" s="110"/>
      <c r="AI14" s="110"/>
    </row>
    <row r="15" spans="1:35" ht="15" customHeight="1" x14ac:dyDescent="0.35">
      <c r="A15" s="15"/>
      <c r="B15" s="372" t="s">
        <v>212</v>
      </c>
      <c r="C15" s="370">
        <v>551</v>
      </c>
      <c r="D15" s="371">
        <v>5177505000</v>
      </c>
      <c r="E15" s="391"/>
      <c r="F15" s="3"/>
      <c r="G15" s="3"/>
      <c r="K15" s="22"/>
      <c r="M15" s="19"/>
      <c r="O15" s="22"/>
      <c r="P15" s="22"/>
      <c r="U15" s="166">
        <f>W15/W21</f>
        <v>0.18671586715867158</v>
      </c>
      <c r="V15" s="372" t="s">
        <v>212</v>
      </c>
      <c r="W15" s="370">
        <v>253</v>
      </c>
      <c r="X15" s="371">
        <v>2376589000</v>
      </c>
      <c r="Y15" s="255"/>
      <c r="Z15" s="19"/>
      <c r="AA15" s="16"/>
      <c r="AG15" s="109"/>
      <c r="AH15" s="110"/>
      <c r="AI15" s="110"/>
    </row>
    <row r="16" spans="1:35" ht="15" customHeight="1" x14ac:dyDescent="0.35">
      <c r="A16" s="15"/>
      <c r="B16" s="370" t="s">
        <v>213</v>
      </c>
      <c r="C16" s="370">
        <v>279</v>
      </c>
      <c r="D16" s="371">
        <v>2580899000</v>
      </c>
      <c r="E16" s="391"/>
      <c r="F16" s="3"/>
      <c r="G16" s="3"/>
      <c r="K16" s="22"/>
      <c r="M16" s="19"/>
      <c r="O16" s="22"/>
      <c r="P16" s="22"/>
      <c r="U16" s="166">
        <f>W16/W21</f>
        <v>9.6678966789667892E-2</v>
      </c>
      <c r="V16" s="370" t="s">
        <v>213</v>
      </c>
      <c r="W16" s="370">
        <v>131</v>
      </c>
      <c r="X16" s="371">
        <v>1205811000</v>
      </c>
      <c r="Y16" s="255"/>
      <c r="Z16" s="19"/>
      <c r="AA16" s="16"/>
      <c r="AG16" s="109"/>
      <c r="AH16" s="110"/>
      <c r="AI16" s="110"/>
    </row>
    <row r="17" spans="1:26" ht="15" customHeight="1" x14ac:dyDescent="0.25">
      <c r="A17" s="15"/>
      <c r="B17" s="370" t="s">
        <v>214</v>
      </c>
      <c r="C17" s="370">
        <v>302</v>
      </c>
      <c r="D17" s="371">
        <v>2680970000</v>
      </c>
      <c r="E17" s="391"/>
      <c r="F17" s="3"/>
      <c r="G17" s="3"/>
      <c r="K17" s="22"/>
      <c r="M17" s="19"/>
      <c r="O17" s="22"/>
      <c r="P17" s="22"/>
      <c r="U17" s="166">
        <f>W17/W21</f>
        <v>0.12619926199261994</v>
      </c>
      <c r="V17" s="370" t="s">
        <v>214</v>
      </c>
      <c r="W17" s="370">
        <v>171</v>
      </c>
      <c r="X17" s="371">
        <v>1513370000</v>
      </c>
      <c r="Y17" s="255"/>
      <c r="Z17" s="19"/>
    </row>
    <row r="18" spans="1:26" ht="15" customHeight="1" x14ac:dyDescent="0.25">
      <c r="A18" s="15"/>
      <c r="B18" s="370" t="s">
        <v>247</v>
      </c>
      <c r="C18" s="370">
        <v>131</v>
      </c>
      <c r="D18" s="371">
        <v>1047754000</v>
      </c>
      <c r="E18" s="391"/>
      <c r="F18" s="3"/>
      <c r="G18" s="3"/>
      <c r="K18" s="22"/>
      <c r="M18" s="19"/>
      <c r="O18" s="22"/>
      <c r="P18" s="22"/>
      <c r="U18" s="166">
        <f>W18/W21</f>
        <v>5.4612546125461257E-2</v>
      </c>
      <c r="V18" s="370" t="s">
        <v>247</v>
      </c>
      <c r="W18" s="370">
        <v>74</v>
      </c>
      <c r="X18" s="371">
        <v>594222000</v>
      </c>
      <c r="Y18" s="255"/>
      <c r="Z18" s="19"/>
    </row>
    <row r="19" spans="1:26" ht="15" customHeight="1" x14ac:dyDescent="0.25">
      <c r="A19" s="15"/>
      <c r="B19" s="370" t="s">
        <v>248</v>
      </c>
      <c r="C19" s="370">
        <v>109</v>
      </c>
      <c r="D19" s="371">
        <v>771164000</v>
      </c>
      <c r="E19" s="391"/>
      <c r="F19" s="3"/>
      <c r="G19" s="3"/>
      <c r="K19" s="22"/>
      <c r="M19" s="19"/>
      <c r="O19" s="22"/>
      <c r="P19" s="22"/>
      <c r="U19" s="166">
        <f>W19/W21</f>
        <v>4.797047970479705E-2</v>
      </c>
      <c r="V19" s="370" t="s">
        <v>248</v>
      </c>
      <c r="W19" s="370">
        <v>65</v>
      </c>
      <c r="X19" s="371">
        <v>460094000</v>
      </c>
      <c r="Y19" s="163"/>
      <c r="Z19" s="19"/>
    </row>
    <row r="20" spans="1:26" ht="15" customHeight="1" x14ac:dyDescent="0.25">
      <c r="A20" s="15"/>
      <c r="B20" s="370" t="s">
        <v>249</v>
      </c>
      <c r="C20" s="370">
        <v>47</v>
      </c>
      <c r="D20" s="371">
        <v>298662000</v>
      </c>
      <c r="E20" s="391"/>
      <c r="F20" s="3"/>
      <c r="G20" s="3"/>
      <c r="K20" s="22"/>
      <c r="M20" s="19"/>
      <c r="O20" s="22"/>
      <c r="P20" s="22"/>
      <c r="U20" s="166">
        <f>W20/W21</f>
        <v>1.9188191881918819E-2</v>
      </c>
      <c r="V20" s="370" t="s">
        <v>249</v>
      </c>
      <c r="W20" s="370">
        <v>26</v>
      </c>
      <c r="X20" s="371">
        <v>165139000</v>
      </c>
      <c r="Z20" s="19"/>
    </row>
    <row r="21" spans="1:26" ht="15" customHeight="1" x14ac:dyDescent="0.25">
      <c r="A21" s="15"/>
      <c r="B21" s="425" t="s">
        <v>6</v>
      </c>
      <c r="C21" s="366">
        <f>SUM(C14:C20)</f>
        <v>2767</v>
      </c>
      <c r="D21" s="423">
        <f>SUM(D14:D20)</f>
        <v>25594172000</v>
      </c>
      <c r="E21" s="391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67">
        <f>SUM(U14:U20)</f>
        <v>1.0000000000000002</v>
      </c>
      <c r="V21" s="168"/>
      <c r="W21" s="169">
        <f>SUM(W14:W20)</f>
        <v>1355</v>
      </c>
      <c r="X21" s="170">
        <f>SUM(X14:X20)</f>
        <v>12437522000</v>
      </c>
      <c r="Z21" s="19"/>
    </row>
    <row r="22" spans="1:26" x14ac:dyDescent="0.25">
      <c r="A22" s="15"/>
      <c r="B22" s="549" t="s">
        <v>281</v>
      </c>
      <c r="I22" s="3"/>
      <c r="J22" s="3"/>
      <c r="Y22" s="164"/>
      <c r="Z22" s="163"/>
    </row>
    <row r="23" spans="1:26" ht="15" customHeight="1" x14ac:dyDescent="0.25">
      <c r="A23" s="15"/>
      <c r="E23" s="373"/>
      <c r="G23" s="59"/>
      <c r="Y23" s="171">
        <f>+C14+C16</f>
        <v>1627</v>
      </c>
      <c r="Z23" s="151" t="s">
        <v>7</v>
      </c>
    </row>
    <row r="24" spans="1:26" ht="15" customHeight="1" x14ac:dyDescent="0.25">
      <c r="A24" s="15"/>
      <c r="C24" s="374"/>
      <c r="D24" s="374"/>
      <c r="E24" s="374"/>
      <c r="I24" s="18"/>
      <c r="Y24" s="151">
        <v>10315</v>
      </c>
      <c r="Z24" s="151" t="s">
        <v>8</v>
      </c>
    </row>
    <row r="25" spans="1:26" ht="15" customHeight="1" x14ac:dyDescent="0.25">
      <c r="A25" s="15"/>
      <c r="C25" s="374"/>
      <c r="D25" s="374"/>
      <c r="E25" s="373"/>
      <c r="Y25" s="166"/>
      <c r="Z25" s="163"/>
    </row>
    <row r="26" spans="1:26" ht="15" customHeight="1" x14ac:dyDescent="0.25">
      <c r="A26" s="15"/>
      <c r="B26" s="410"/>
      <c r="C26" s="376"/>
      <c r="D26" s="376"/>
      <c r="E26" s="373"/>
      <c r="Y26" s="166"/>
      <c r="Z26" s="163"/>
    </row>
    <row r="27" spans="1:26" ht="15" customHeight="1" x14ac:dyDescent="0.25">
      <c r="A27" s="15"/>
      <c r="B27" s="375"/>
      <c r="C27" s="376"/>
      <c r="D27" s="376"/>
      <c r="E27" s="373"/>
      <c r="Y27" s="166"/>
      <c r="Z27" s="163"/>
    </row>
    <row r="28" spans="1:26" ht="15" customHeight="1" x14ac:dyDescent="0.25">
      <c r="A28" s="15"/>
      <c r="B28" s="375"/>
      <c r="C28" s="376"/>
      <c r="D28" s="376"/>
      <c r="E28" s="373"/>
      <c r="Y28" s="166"/>
      <c r="Z28" s="163"/>
    </row>
    <row r="29" spans="1:26" ht="24.75" customHeight="1" x14ac:dyDescent="0.25">
      <c r="A29" s="15"/>
      <c r="B29" s="645" t="s">
        <v>150</v>
      </c>
      <c r="C29" s="645"/>
      <c r="D29" s="645"/>
      <c r="E29" s="636"/>
      <c r="I29" s="3"/>
      <c r="J29" s="3"/>
      <c r="Y29" s="166"/>
      <c r="Z29" s="163"/>
    </row>
    <row r="30" spans="1:26" ht="15" customHeight="1" x14ac:dyDescent="0.25">
      <c r="A30" s="15"/>
      <c r="B30" s="375"/>
      <c r="C30" s="376"/>
      <c r="D30" s="376"/>
      <c r="E30" s="373"/>
      <c r="I30" s="3"/>
      <c r="J30" s="3"/>
      <c r="Y30" s="166"/>
      <c r="Z30" s="163"/>
    </row>
    <row r="31" spans="1:26" ht="15" customHeight="1" x14ac:dyDescent="0.25">
      <c r="A31" s="15"/>
      <c r="B31" s="424" t="s">
        <v>2</v>
      </c>
      <c r="C31" s="368" t="s">
        <v>171</v>
      </c>
      <c r="D31" s="422" t="s">
        <v>96</v>
      </c>
      <c r="F31" s="12"/>
      <c r="G31" s="3"/>
      <c r="I31" s="3"/>
      <c r="L31" s="22"/>
      <c r="M31" s="19"/>
      <c r="P31" s="22"/>
      <c r="V31" s="163"/>
      <c r="W31" s="151"/>
      <c r="X31" s="166"/>
      <c r="Y31" s="163"/>
      <c r="Z31" s="172"/>
    </row>
    <row r="32" spans="1:26" ht="15" customHeight="1" x14ac:dyDescent="0.25">
      <c r="A32" s="15"/>
      <c r="B32" s="370" t="s">
        <v>211</v>
      </c>
      <c r="C32" s="377">
        <v>568</v>
      </c>
      <c r="D32" s="371">
        <v>11648100774.529972</v>
      </c>
      <c r="F32" s="12"/>
      <c r="G32" s="3"/>
      <c r="I32" s="3"/>
      <c r="L32" s="22"/>
      <c r="M32" s="19"/>
      <c r="P32" s="22"/>
      <c r="V32" s="163"/>
      <c r="W32" s="252" t="s">
        <v>211</v>
      </c>
      <c r="X32" s="252">
        <v>1094</v>
      </c>
      <c r="Y32" s="252">
        <v>18699552024.320038</v>
      </c>
      <c r="Z32" s="172"/>
    </row>
    <row r="33" spans="1:26" ht="15" customHeight="1" x14ac:dyDescent="0.35">
      <c r="A33" s="15"/>
      <c r="B33" s="378" t="s">
        <v>212</v>
      </c>
      <c r="C33" s="377">
        <v>134</v>
      </c>
      <c r="D33" s="371">
        <v>3599347398.3100014</v>
      </c>
      <c r="F33" s="12"/>
      <c r="G33" s="3"/>
      <c r="I33" s="3"/>
      <c r="L33" s="22"/>
      <c r="M33" s="19"/>
      <c r="P33" s="22"/>
      <c r="V33" s="166">
        <f>+C32/C36</f>
        <v>0.80911680911680917</v>
      </c>
      <c r="W33" s="314" t="s">
        <v>211</v>
      </c>
      <c r="X33" s="315">
        <v>264</v>
      </c>
      <c r="Y33" s="312">
        <v>5190204908.869998</v>
      </c>
      <c r="Z33" s="172"/>
    </row>
    <row r="34" spans="1:26" ht="15" customHeight="1" x14ac:dyDescent="0.35">
      <c r="A34" s="15"/>
      <c r="B34" s="370" t="s">
        <v>213</v>
      </c>
      <c r="C34" s="377">
        <v>0</v>
      </c>
      <c r="D34" s="371">
        <v>0</v>
      </c>
      <c r="F34" s="12"/>
      <c r="G34" s="3"/>
      <c r="I34" s="3"/>
      <c r="L34" s="22"/>
      <c r="M34" s="19"/>
      <c r="P34" s="22"/>
      <c r="V34" s="166">
        <f>+C33/C36</f>
        <v>0.19088319088319089</v>
      </c>
      <c r="W34" s="313" t="s">
        <v>212</v>
      </c>
      <c r="X34" s="315">
        <v>35</v>
      </c>
      <c r="Y34" s="312">
        <v>785841491.10000002</v>
      </c>
      <c r="Z34" s="172"/>
    </row>
    <row r="35" spans="1:26" ht="15" hidden="1" customHeight="1" x14ac:dyDescent="0.35">
      <c r="A35" s="15"/>
      <c r="B35" s="370" t="s">
        <v>214</v>
      </c>
      <c r="C35" s="377">
        <v>0</v>
      </c>
      <c r="D35" s="371">
        <v>0</v>
      </c>
      <c r="F35" s="12"/>
      <c r="G35" s="3"/>
      <c r="I35" s="3"/>
      <c r="L35" s="22"/>
      <c r="M35" s="19"/>
      <c r="P35" s="22"/>
      <c r="V35" s="166">
        <f>C34/C36</f>
        <v>0</v>
      </c>
      <c r="W35" s="313" t="s">
        <v>213</v>
      </c>
      <c r="X35" s="315">
        <v>1</v>
      </c>
      <c r="Y35" s="312">
        <v>14792598.48</v>
      </c>
      <c r="Z35" s="172"/>
    </row>
    <row r="36" spans="1:26" ht="15" customHeight="1" x14ac:dyDescent="0.35">
      <c r="A36" s="15"/>
      <c r="B36" s="425" t="s">
        <v>6</v>
      </c>
      <c r="C36" s="366">
        <f>SUM(C32:C35)</f>
        <v>702</v>
      </c>
      <c r="D36" s="423">
        <f>SUM(D32:D35)</f>
        <v>15247448172.839973</v>
      </c>
      <c r="E36" s="367"/>
      <c r="F36" s="12"/>
      <c r="G36" s="3"/>
      <c r="I36" s="3"/>
      <c r="L36" s="22"/>
      <c r="M36" s="19"/>
      <c r="P36" s="22"/>
      <c r="V36" s="166">
        <f>+C35/C36</f>
        <v>0</v>
      </c>
      <c r="W36" s="314" t="s">
        <v>214</v>
      </c>
      <c r="X36" s="315">
        <v>0</v>
      </c>
      <c r="Y36" s="312">
        <v>0</v>
      </c>
      <c r="Z36" s="172"/>
    </row>
    <row r="37" spans="1:26" ht="15" customHeight="1" x14ac:dyDescent="0.25">
      <c r="A37" s="15"/>
      <c r="B37" s="549" t="s">
        <v>281</v>
      </c>
      <c r="C37" s="443"/>
      <c r="D37" s="443"/>
      <c r="E37" s="401"/>
      <c r="F37" s="3"/>
      <c r="I37" s="3"/>
      <c r="J37" s="3"/>
      <c r="W37" s="173"/>
      <c r="X37" s="253"/>
      <c r="Y37" s="254"/>
      <c r="Z37" s="186">
        <v>0</v>
      </c>
    </row>
    <row r="38" spans="1:26" ht="15" customHeight="1" x14ac:dyDescent="0.25">
      <c r="A38" s="15"/>
      <c r="B38" s="442"/>
      <c r="C38" s="444"/>
      <c r="D38" s="444"/>
      <c r="E38" s="401"/>
      <c r="F38" s="3"/>
      <c r="I38" s="3"/>
      <c r="J38" s="3"/>
      <c r="W38" s="173"/>
      <c r="X38" s="253"/>
      <c r="Y38" s="254"/>
      <c r="Z38" s="186">
        <v>0</v>
      </c>
    </row>
    <row r="39" spans="1:26" ht="15" customHeight="1" x14ac:dyDescent="0.25">
      <c r="A39" s="15"/>
      <c r="B39" s="442"/>
      <c r="C39" s="444"/>
      <c r="D39" s="444"/>
      <c r="E39" s="445"/>
      <c r="F39" s="3"/>
      <c r="I39" s="3"/>
      <c r="J39" s="3"/>
      <c r="W39" s="173"/>
    </row>
    <row r="40" spans="1:26" ht="15" customHeight="1" x14ac:dyDescent="0.25">
      <c r="A40" s="15"/>
      <c r="B40" s="446"/>
      <c r="I40" s="3"/>
      <c r="J40" s="3"/>
      <c r="W40" s="173"/>
    </row>
    <row r="41" spans="1:26" ht="15" customHeight="1" x14ac:dyDescent="0.25">
      <c r="A41" s="15"/>
      <c r="I41" s="3"/>
      <c r="J41" s="3"/>
      <c r="W41" s="174"/>
      <c r="X41" s="168"/>
      <c r="Y41" s="169">
        <f>SUM(Y33:Y34)</f>
        <v>5976046399.9699984</v>
      </c>
      <c r="Z41" s="170">
        <f>SUM(Z33:Z38)</f>
        <v>0</v>
      </c>
    </row>
    <row r="42" spans="1:26" ht="15" customHeight="1" x14ac:dyDescent="0.25">
      <c r="A42" s="15"/>
      <c r="I42" s="3"/>
      <c r="J42" s="3"/>
      <c r="Y42" s="166"/>
      <c r="Z42" s="163"/>
    </row>
    <row r="43" spans="1:26" ht="15" customHeight="1" x14ac:dyDescent="0.25">
      <c r="A43" s="15"/>
      <c r="B43" s="375"/>
      <c r="C43" s="376"/>
      <c r="D43" s="376"/>
      <c r="E43" s="373"/>
      <c r="I43" s="3"/>
      <c r="J43" s="3"/>
      <c r="Y43" s="166"/>
      <c r="Z43" s="163"/>
    </row>
    <row r="44" spans="1:26" ht="15" customHeight="1" x14ac:dyDescent="0.25">
      <c r="A44" s="15"/>
      <c r="B44" s="375"/>
      <c r="C44" s="376"/>
      <c r="D44" s="376"/>
      <c r="E44" s="373"/>
      <c r="H44" s="55"/>
      <c r="Y44" s="166"/>
      <c r="Z44" s="163"/>
    </row>
    <row r="45" spans="1:26" ht="15" customHeight="1" x14ac:dyDescent="0.25">
      <c r="A45" s="15"/>
      <c r="B45" s="375"/>
      <c r="C45" s="376"/>
      <c r="D45" s="376"/>
      <c r="E45" s="373"/>
      <c r="Y45" s="166"/>
      <c r="Z45" s="163"/>
    </row>
    <row r="46" spans="1:26" ht="15" customHeight="1" x14ac:dyDescent="0.25">
      <c r="A46" s="15"/>
      <c r="B46" s="375"/>
      <c r="C46" s="376"/>
      <c r="D46" s="376"/>
      <c r="E46" s="373"/>
      <c r="Y46" s="166"/>
      <c r="Z46" s="163"/>
    </row>
    <row r="47" spans="1:26" ht="15" customHeight="1" x14ac:dyDescent="0.25">
      <c r="A47" s="15"/>
      <c r="B47" s="375"/>
      <c r="C47" s="376"/>
      <c r="D47" s="376"/>
      <c r="E47" s="373"/>
      <c r="H47" s="12"/>
      <c r="I47" s="12"/>
      <c r="J47" s="12"/>
      <c r="Y47" s="166"/>
      <c r="Z47" s="163"/>
    </row>
    <row r="48" spans="1:26" ht="15" customHeight="1" x14ac:dyDescent="0.25">
      <c r="A48" s="15"/>
      <c r="B48" s="375"/>
      <c r="C48" s="376"/>
      <c r="D48" s="376"/>
      <c r="E48" s="373"/>
      <c r="H48" s="12"/>
      <c r="I48" s="12"/>
      <c r="J48" s="12"/>
      <c r="Y48" s="166"/>
      <c r="Z48" s="163"/>
    </row>
    <row r="49" spans="1:16" ht="34.5" customHeight="1" x14ac:dyDescent="0.25">
      <c r="A49" s="15"/>
      <c r="B49" s="645" t="s">
        <v>151</v>
      </c>
      <c r="C49" s="645"/>
      <c r="D49" s="645"/>
      <c r="E49" s="636"/>
      <c r="H49" s="12"/>
      <c r="I49" s="12"/>
      <c r="J49" s="12"/>
    </row>
    <row r="50" spans="1:16" ht="15" customHeight="1" x14ac:dyDescent="0.25">
      <c r="A50" s="15"/>
      <c r="B50" s="375"/>
      <c r="C50" s="376"/>
      <c r="D50" s="376"/>
      <c r="E50" s="373"/>
      <c r="H50" s="12"/>
      <c r="I50" s="12"/>
      <c r="J50" s="12"/>
    </row>
    <row r="51" spans="1:16" ht="15" customHeight="1" x14ac:dyDescent="0.25">
      <c r="A51" s="15"/>
      <c r="B51" s="424" t="s">
        <v>2</v>
      </c>
      <c r="C51" s="368" t="s">
        <v>3</v>
      </c>
      <c r="D51" s="422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9">
        <v>1</v>
      </c>
      <c r="C52" s="370">
        <f t="shared" ref="C52:D55" si="0">+C14+C32</f>
        <v>1916</v>
      </c>
      <c r="D52" s="371">
        <f t="shared" si="0"/>
        <v>24685318774.529972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72">
        <v>1.5</v>
      </c>
      <c r="C53" s="370">
        <f t="shared" si="0"/>
        <v>685</v>
      </c>
      <c r="D53" s="371">
        <f t="shared" si="0"/>
        <v>8776852398.3100014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70">
        <v>2</v>
      </c>
      <c r="C54" s="370">
        <f t="shared" si="0"/>
        <v>279</v>
      </c>
      <c r="D54" s="371">
        <f t="shared" si="0"/>
        <v>2580899000</v>
      </c>
      <c r="E54" s="367"/>
      <c r="H54" s="12"/>
      <c r="I54" s="12"/>
      <c r="L54" s="22"/>
      <c r="M54" s="19"/>
      <c r="P54" s="22"/>
    </row>
    <row r="55" spans="1:16" ht="15" customHeight="1" x14ac:dyDescent="0.25">
      <c r="A55" s="15"/>
      <c r="B55" s="370">
        <v>3</v>
      </c>
      <c r="C55" s="370">
        <f t="shared" si="0"/>
        <v>302</v>
      </c>
      <c r="D55" s="371">
        <f t="shared" si="0"/>
        <v>2680970000</v>
      </c>
      <c r="E55" s="367"/>
      <c r="H55" s="12"/>
      <c r="I55" s="12"/>
      <c r="L55" s="22"/>
      <c r="M55" s="19"/>
      <c r="P55" s="22"/>
    </row>
    <row r="56" spans="1:16" ht="15" customHeight="1" x14ac:dyDescent="0.25">
      <c r="A56" s="15"/>
      <c r="B56" s="370">
        <v>4</v>
      </c>
      <c r="C56" s="370">
        <f t="shared" ref="C56:D58" si="1">+C18</f>
        <v>131</v>
      </c>
      <c r="D56" s="371">
        <f t="shared" si="1"/>
        <v>1047754000</v>
      </c>
      <c r="E56" s="367"/>
      <c r="H56" s="12"/>
      <c r="I56" s="12"/>
      <c r="L56" s="22"/>
      <c r="M56" s="19"/>
      <c r="P56" s="22"/>
    </row>
    <row r="57" spans="1:16" ht="15" customHeight="1" x14ac:dyDescent="0.25">
      <c r="A57" s="15"/>
      <c r="B57" s="370">
        <v>5</v>
      </c>
      <c r="C57" s="370">
        <f t="shared" si="1"/>
        <v>109</v>
      </c>
      <c r="D57" s="371">
        <f t="shared" si="1"/>
        <v>771164000</v>
      </c>
      <c r="E57" s="367"/>
      <c r="H57" s="12"/>
      <c r="I57" s="12"/>
      <c r="L57" s="22"/>
      <c r="M57" s="19"/>
      <c r="P57" s="22"/>
    </row>
    <row r="58" spans="1:16" ht="15" customHeight="1" x14ac:dyDescent="0.25">
      <c r="A58" s="15"/>
      <c r="B58" s="370">
        <v>6</v>
      </c>
      <c r="C58" s="370">
        <f t="shared" si="1"/>
        <v>47</v>
      </c>
      <c r="D58" s="371">
        <f t="shared" si="1"/>
        <v>298662000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5" t="s">
        <v>6</v>
      </c>
      <c r="C59" s="366">
        <f>SUM(C52:C58)</f>
        <v>3469</v>
      </c>
      <c r="D59" s="423">
        <f>SUM(D52:D58)</f>
        <v>40841620172.839973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9" t="s">
        <v>281</v>
      </c>
      <c r="G60" s="19"/>
      <c r="H60" s="12"/>
      <c r="I60" s="12"/>
      <c r="J60" s="12"/>
    </row>
    <row r="61" spans="1:16" ht="15" customHeight="1" x14ac:dyDescent="0.25">
      <c r="A61" s="15"/>
      <c r="B61" s="375"/>
      <c r="C61" s="374"/>
      <c r="D61" s="374"/>
      <c r="E61" s="373"/>
      <c r="H61" s="12"/>
      <c r="I61" s="12"/>
      <c r="J61" s="12"/>
    </row>
    <row r="62" spans="1:16" ht="15" customHeight="1" x14ac:dyDescent="0.25">
      <c r="A62" s="15"/>
      <c r="B62" s="375"/>
      <c r="C62" s="374"/>
      <c r="D62" s="374"/>
      <c r="E62" s="373"/>
      <c r="G62" s="60"/>
    </row>
    <row r="63" spans="1:16" ht="15" customHeight="1" x14ac:dyDescent="0.25">
      <c r="A63" s="15"/>
      <c r="B63" s="375"/>
      <c r="C63" s="379"/>
      <c r="D63" s="379"/>
      <c r="E63" s="373"/>
      <c r="G63" s="161"/>
    </row>
    <row r="64" spans="1:16" ht="15" customHeight="1" x14ac:dyDescent="0.25">
      <c r="A64" s="15"/>
      <c r="B64" s="375"/>
      <c r="C64" s="376"/>
      <c r="D64" s="376"/>
      <c r="E64" s="541"/>
      <c r="I64" s="56"/>
    </row>
    <row r="65" spans="1:26" ht="15" customHeight="1" x14ac:dyDescent="0.25">
      <c r="A65" s="15"/>
      <c r="B65" s="375"/>
      <c r="C65" s="376"/>
      <c r="D65" s="376"/>
      <c r="E65" s="373"/>
      <c r="I65" s="56"/>
      <c r="Y65" s="166"/>
      <c r="Z65" s="163"/>
    </row>
    <row r="66" spans="1:26" ht="33.75" customHeight="1" x14ac:dyDescent="0.25">
      <c r="A66" s="15"/>
      <c r="B66" s="645" t="s">
        <v>152</v>
      </c>
      <c r="C66" s="645"/>
      <c r="D66" s="645"/>
      <c r="E66" s="636"/>
      <c r="Y66" s="166"/>
      <c r="Z66" s="163"/>
    </row>
    <row r="67" spans="1:26" ht="15" customHeight="1" x14ac:dyDescent="0.25">
      <c r="A67" s="15"/>
      <c r="B67" s="375"/>
      <c r="C67" s="376"/>
      <c r="D67" s="376"/>
      <c r="E67" s="373"/>
      <c r="I67" s="3"/>
      <c r="J67" s="3"/>
      <c r="X67" s="661" t="s">
        <v>152</v>
      </c>
      <c r="Y67" s="661"/>
      <c r="Z67" s="661"/>
    </row>
    <row r="68" spans="1:26" ht="15" customHeight="1" x14ac:dyDescent="0.25">
      <c r="A68" s="15"/>
      <c r="B68" s="424" t="s">
        <v>57</v>
      </c>
      <c r="C68" s="368" t="s">
        <v>3</v>
      </c>
      <c r="D68" s="422" t="s">
        <v>96</v>
      </c>
      <c r="E68" s="447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66"/>
      <c r="W68" s="175" t="s">
        <v>53</v>
      </c>
      <c r="X68" s="176">
        <v>467</v>
      </c>
      <c r="Y68" s="177">
        <v>6420748002.0199976</v>
      </c>
    </row>
    <row r="69" spans="1:26" ht="14.25" customHeight="1" x14ac:dyDescent="0.25">
      <c r="A69" s="15"/>
      <c r="B69" s="380" t="s">
        <v>53</v>
      </c>
      <c r="C69" s="377">
        <v>980</v>
      </c>
      <c r="D69" s="371">
        <v>13443498563.529985</v>
      </c>
      <c r="E69" s="447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66"/>
      <c r="W69" s="175" t="s">
        <v>54</v>
      </c>
      <c r="X69" s="176">
        <v>474</v>
      </c>
      <c r="Y69" s="177">
        <v>5382615022.7399988</v>
      </c>
    </row>
    <row r="70" spans="1:26" ht="15" customHeight="1" x14ac:dyDescent="0.25">
      <c r="A70" s="15"/>
      <c r="B70" s="381" t="s">
        <v>54</v>
      </c>
      <c r="C70" s="377">
        <v>1047</v>
      </c>
      <c r="D70" s="371">
        <v>12857353372.20999</v>
      </c>
      <c r="E70" s="447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66"/>
      <c r="W70" s="175" t="s">
        <v>55</v>
      </c>
      <c r="X70" s="176">
        <v>713</v>
      </c>
      <c r="Y70" s="177">
        <v>6610205375.21</v>
      </c>
    </row>
    <row r="71" spans="1:26" ht="15" customHeight="1" x14ac:dyDescent="0.25">
      <c r="A71" s="15"/>
      <c r="B71" s="381" t="s">
        <v>55</v>
      </c>
      <c r="C71" s="377">
        <v>1442</v>
      </c>
      <c r="D71" s="371">
        <v>14540768237.099983</v>
      </c>
      <c r="E71" s="447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3"/>
      <c r="W71" s="168" t="s">
        <v>29</v>
      </c>
      <c r="X71" s="169">
        <f>SUM(X68:X70)</f>
        <v>1654</v>
      </c>
      <c r="Y71" s="170">
        <f>SUM(Y68:Y70)</f>
        <v>18413568399.969997</v>
      </c>
    </row>
    <row r="72" spans="1:26" ht="15" customHeight="1" x14ac:dyDescent="0.25">
      <c r="A72" s="15"/>
      <c r="B72" s="426" t="s">
        <v>6</v>
      </c>
      <c r="C72" s="366">
        <f>SUM(C69:C71)</f>
        <v>3469</v>
      </c>
      <c r="D72" s="423">
        <f>SUM(D69:D71)</f>
        <v>40841620172.839958</v>
      </c>
      <c r="E72" s="447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63"/>
      <c r="W72" s="151"/>
      <c r="X72" s="164"/>
      <c r="Y72" s="163"/>
    </row>
    <row r="73" spans="1:26" ht="15" customHeight="1" x14ac:dyDescent="0.25">
      <c r="A73" s="15"/>
      <c r="B73" s="549" t="s">
        <v>281</v>
      </c>
      <c r="C73" s="502"/>
      <c r="D73" s="550"/>
      <c r="E73" s="447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63"/>
      <c r="W73" s="151"/>
      <c r="X73" s="164"/>
      <c r="Y73" s="163"/>
    </row>
    <row r="74" spans="1:26" ht="15" customHeight="1" x14ac:dyDescent="0.25">
      <c r="A74" s="15"/>
      <c r="B74" s="447" t="s">
        <v>56</v>
      </c>
      <c r="C74" s="382"/>
      <c r="D74" s="382"/>
      <c r="E74" s="383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4"/>
      <c r="Z74" s="163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4"/>
      <c r="Z75" s="163"/>
    </row>
    <row r="76" spans="1:26" ht="15" customHeight="1" x14ac:dyDescent="0.25">
      <c r="A76" s="15"/>
      <c r="B76" s="647" t="s">
        <v>290</v>
      </c>
      <c r="C76" s="648"/>
      <c r="D76" s="649"/>
      <c r="E76" s="640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64"/>
      <c r="Z76" s="163"/>
    </row>
    <row r="77" spans="1:26" ht="15" customHeight="1" x14ac:dyDescent="0.25">
      <c r="A77" s="15"/>
      <c r="B77" s="638" t="s">
        <v>53</v>
      </c>
      <c r="C77" s="650" t="s">
        <v>291</v>
      </c>
      <c r="D77" s="650"/>
      <c r="E77" s="641"/>
      <c r="G77" s="19"/>
      <c r="H77" s="19"/>
      <c r="Q77" s="23"/>
      <c r="R77" s="23"/>
      <c r="S77" s="23"/>
      <c r="T77" s="23"/>
      <c r="U77" s="23"/>
      <c r="V77" s="23"/>
      <c r="X77" s="178"/>
      <c r="Y77" s="164"/>
      <c r="Z77" s="163"/>
    </row>
    <row r="78" spans="1:26" ht="26.25" customHeight="1" x14ac:dyDescent="0.25">
      <c r="A78" s="15"/>
      <c r="B78" s="639" t="s">
        <v>54</v>
      </c>
      <c r="C78" s="651" t="s">
        <v>292</v>
      </c>
      <c r="D78" s="651"/>
      <c r="E78" s="642"/>
      <c r="G78" s="19"/>
      <c r="H78" s="19"/>
      <c r="Q78" s="23"/>
      <c r="R78" s="23"/>
      <c r="S78" s="23"/>
      <c r="T78" s="23"/>
      <c r="U78" s="23"/>
      <c r="V78" s="23"/>
      <c r="Y78" s="164"/>
      <c r="Z78" s="163"/>
    </row>
    <row r="79" spans="1:26" ht="78.75" customHeight="1" x14ac:dyDescent="0.25">
      <c r="A79" s="15"/>
      <c r="B79" s="639" t="s">
        <v>55</v>
      </c>
      <c r="C79" s="652" t="s">
        <v>293</v>
      </c>
      <c r="D79" s="652"/>
      <c r="E79" s="643"/>
      <c r="G79" s="19"/>
      <c r="H79" s="19"/>
      <c r="Q79" s="23"/>
      <c r="R79" s="23"/>
      <c r="S79" s="23"/>
      <c r="T79" s="23"/>
      <c r="U79" s="23"/>
      <c r="V79" s="23"/>
      <c r="Y79" s="164"/>
      <c r="Z79" s="163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4"/>
      <c r="Z80" s="163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4"/>
    </row>
    <row r="82" spans="1:25" ht="15" customHeight="1" x14ac:dyDescent="0.25">
      <c r="A82" s="15"/>
      <c r="G82" s="19"/>
      <c r="H82" s="19"/>
      <c r="X82" s="163"/>
    </row>
    <row r="83" spans="1:25" ht="26.25" customHeight="1" x14ac:dyDescent="0.25">
      <c r="A83" s="26"/>
      <c r="B83" s="645" t="s">
        <v>154</v>
      </c>
      <c r="C83" s="645"/>
      <c r="D83" s="645"/>
      <c r="E83" s="636"/>
      <c r="G83" s="31"/>
      <c r="H83" s="19"/>
      <c r="X83" s="163"/>
    </row>
    <row r="84" spans="1:25" x14ac:dyDescent="0.25">
      <c r="A84" s="26"/>
      <c r="B84" s="384"/>
      <c r="C84" s="385"/>
      <c r="D84" s="385"/>
      <c r="G84" s="31"/>
      <c r="H84" s="19"/>
    </row>
    <row r="85" spans="1:25" ht="23.25" customHeight="1" x14ac:dyDescent="0.25">
      <c r="A85" s="15"/>
      <c r="B85" s="439" t="s">
        <v>153</v>
      </c>
      <c r="C85" s="368" t="s">
        <v>3</v>
      </c>
      <c r="D85" s="422" t="s">
        <v>96</v>
      </c>
      <c r="G85" s="19"/>
      <c r="H85" s="19"/>
      <c r="L85" s="22"/>
      <c r="M85" s="19"/>
      <c r="P85" s="22"/>
      <c r="V85" s="163"/>
      <c r="W85" s="662" t="s">
        <v>154</v>
      </c>
      <c r="X85" s="662"/>
      <c r="Y85" s="662"/>
    </row>
    <row r="86" spans="1:25" ht="30" customHeight="1" x14ac:dyDescent="0.25">
      <c r="A86" s="15"/>
      <c r="B86" s="386" t="s">
        <v>105</v>
      </c>
      <c r="C86" s="377">
        <f t="shared" ref="C86:C92" si="2">+X87</f>
        <v>236</v>
      </c>
      <c r="D86" s="371">
        <f>+Y87/1000000</f>
        <v>1954.068</v>
      </c>
      <c r="G86" s="19"/>
      <c r="H86" s="19"/>
      <c r="L86" s="22"/>
      <c r="M86" s="19"/>
      <c r="P86" s="22"/>
      <c r="V86" s="163"/>
      <c r="W86" s="256" t="s">
        <v>10</v>
      </c>
      <c r="X86" s="257" t="s">
        <v>5</v>
      </c>
      <c r="Y86" s="256" t="s">
        <v>4</v>
      </c>
    </row>
    <row r="87" spans="1:25" ht="30" customHeight="1" x14ac:dyDescent="0.35">
      <c r="A87" s="15"/>
      <c r="B87" s="377" t="s">
        <v>106</v>
      </c>
      <c r="C87" s="377">
        <f t="shared" si="2"/>
        <v>234</v>
      </c>
      <c r="D87" s="371">
        <f t="shared" ref="D87:D92" si="3">+Y88/1000000</f>
        <v>2121.759</v>
      </c>
      <c r="G87" s="19"/>
      <c r="H87" s="19"/>
      <c r="L87" s="22"/>
      <c r="M87" s="19"/>
      <c r="P87" s="22"/>
      <c r="V87" s="163"/>
      <c r="W87" s="323" t="s">
        <v>105</v>
      </c>
      <c r="X87" s="324">
        <v>236</v>
      </c>
      <c r="Y87" s="325">
        <v>1954068000</v>
      </c>
    </row>
    <row r="88" spans="1:25" ht="30" customHeight="1" x14ac:dyDescent="0.35">
      <c r="B88" s="386" t="s">
        <v>14</v>
      </c>
      <c r="C88" s="377">
        <f t="shared" si="2"/>
        <v>344</v>
      </c>
      <c r="D88" s="371">
        <f t="shared" si="3"/>
        <v>3207.7040000000002</v>
      </c>
      <c r="G88" s="19"/>
      <c r="H88" s="19"/>
      <c r="L88" s="22"/>
      <c r="M88" s="19"/>
      <c r="P88" s="22"/>
      <c r="V88" s="163"/>
      <c r="W88" s="323" t="s">
        <v>106</v>
      </c>
      <c r="X88" s="324">
        <v>234</v>
      </c>
      <c r="Y88" s="325">
        <v>2121759000</v>
      </c>
    </row>
    <row r="89" spans="1:25" ht="30" customHeight="1" x14ac:dyDescent="0.35">
      <c r="A89" s="15"/>
      <c r="B89" s="377" t="s">
        <v>15</v>
      </c>
      <c r="C89" s="377">
        <f t="shared" si="2"/>
        <v>180</v>
      </c>
      <c r="D89" s="371">
        <f t="shared" si="3"/>
        <v>1683.0509999999999</v>
      </c>
      <c r="G89" s="19"/>
      <c r="H89" s="19"/>
      <c r="L89" s="22"/>
      <c r="M89" s="19"/>
      <c r="P89" s="22"/>
      <c r="V89" s="163"/>
      <c r="W89" s="323" t="s">
        <v>14</v>
      </c>
      <c r="X89" s="324">
        <v>344</v>
      </c>
      <c r="Y89" s="325">
        <v>3207704000</v>
      </c>
    </row>
    <row r="90" spans="1:25" ht="30" customHeight="1" x14ac:dyDescent="0.35">
      <c r="A90" s="15"/>
      <c r="B90" s="386" t="s">
        <v>16</v>
      </c>
      <c r="C90" s="377">
        <f t="shared" si="2"/>
        <v>588</v>
      </c>
      <c r="D90" s="371">
        <f t="shared" si="3"/>
        <v>5518.6880000000001</v>
      </c>
      <c r="G90" s="19"/>
      <c r="H90" s="19"/>
      <c r="L90" s="22"/>
      <c r="M90" s="19"/>
      <c r="P90" s="22"/>
      <c r="V90" s="163"/>
      <c r="W90" s="323" t="s">
        <v>15</v>
      </c>
      <c r="X90" s="324">
        <v>180</v>
      </c>
      <c r="Y90" s="325">
        <v>1683051000</v>
      </c>
    </row>
    <row r="91" spans="1:25" ht="30" customHeight="1" x14ac:dyDescent="0.35">
      <c r="A91" s="15"/>
      <c r="B91" s="377" t="s">
        <v>18</v>
      </c>
      <c r="C91" s="377">
        <f t="shared" si="2"/>
        <v>482</v>
      </c>
      <c r="D91" s="371">
        <f t="shared" si="3"/>
        <v>4525.6840000000002</v>
      </c>
      <c r="G91" s="19"/>
      <c r="H91" s="19"/>
      <c r="L91" s="22"/>
      <c r="M91" s="19"/>
      <c r="P91" s="22"/>
      <c r="V91" s="163"/>
      <c r="W91" s="323" t="s">
        <v>16</v>
      </c>
      <c r="X91" s="324">
        <v>588</v>
      </c>
      <c r="Y91" s="325">
        <v>5518688000</v>
      </c>
    </row>
    <row r="92" spans="1:25" ht="30" customHeight="1" x14ac:dyDescent="0.35">
      <c r="A92" s="15"/>
      <c r="B92" s="386" t="s">
        <v>17</v>
      </c>
      <c r="C92" s="377">
        <f t="shared" si="2"/>
        <v>703</v>
      </c>
      <c r="D92" s="371">
        <f t="shared" si="3"/>
        <v>6583.2179999999998</v>
      </c>
      <c r="G92" s="19"/>
      <c r="H92" s="19"/>
      <c r="L92" s="22"/>
      <c r="M92" s="19"/>
      <c r="P92" s="22"/>
      <c r="V92" s="163"/>
      <c r="W92" s="323" t="s">
        <v>18</v>
      </c>
      <c r="X92" s="324">
        <v>482</v>
      </c>
      <c r="Y92" s="325">
        <v>4525684000</v>
      </c>
    </row>
    <row r="93" spans="1:25" x14ac:dyDescent="0.35">
      <c r="A93" s="15"/>
      <c r="B93" s="427" t="s">
        <v>6</v>
      </c>
      <c r="C93" s="366">
        <f>SUM(C86:C92)</f>
        <v>2767</v>
      </c>
      <c r="D93" s="423">
        <f>SUM(D86:D92)</f>
        <v>25594.172000000002</v>
      </c>
      <c r="G93" s="19"/>
      <c r="H93" s="19"/>
      <c r="L93" s="22"/>
      <c r="M93" s="19"/>
      <c r="P93" s="22"/>
      <c r="V93" s="163"/>
      <c r="W93" s="323" t="s">
        <v>17</v>
      </c>
      <c r="X93" s="324">
        <v>703</v>
      </c>
      <c r="Y93" s="325">
        <v>6583218000</v>
      </c>
    </row>
    <row r="94" spans="1:25" x14ac:dyDescent="0.25">
      <c r="A94" s="15"/>
      <c r="G94" s="19"/>
      <c r="H94" s="19"/>
      <c r="W94" s="258"/>
      <c r="X94" s="260">
        <f>SUM(X87:X93)</f>
        <v>2767</v>
      </c>
      <c r="Y94" s="259">
        <f>SUM(Y87:Y93)</f>
        <v>25594172000</v>
      </c>
    </row>
    <row r="95" spans="1:25" x14ac:dyDescent="0.25">
      <c r="A95" s="15"/>
      <c r="G95" s="19"/>
      <c r="H95" s="19"/>
    </row>
    <row r="96" spans="1:25" x14ac:dyDescent="0.25">
      <c r="A96" s="26"/>
      <c r="B96" s="384"/>
      <c r="C96" s="385"/>
      <c r="D96" s="385"/>
      <c r="G96" s="31"/>
      <c r="H96" s="31"/>
      <c r="I96" s="31"/>
      <c r="J96" s="31"/>
    </row>
    <row r="97" spans="1:28" ht="27" customHeight="1" x14ac:dyDescent="0.25">
      <c r="A97" s="26"/>
      <c r="B97" s="645" t="s">
        <v>155</v>
      </c>
      <c r="C97" s="645"/>
      <c r="D97" s="645"/>
      <c r="E97" s="636"/>
      <c r="G97" s="31"/>
      <c r="H97" s="31"/>
      <c r="I97" s="31"/>
      <c r="J97" s="31"/>
      <c r="W97" s="663" t="s">
        <v>155</v>
      </c>
      <c r="X97" s="663"/>
      <c r="Y97" s="663"/>
      <c r="AA97" s="19"/>
    </row>
    <row r="98" spans="1:28" ht="12.75" customHeight="1" x14ac:dyDescent="0.25">
      <c r="A98" s="26"/>
      <c r="B98" s="384"/>
      <c r="C98" s="385"/>
      <c r="D98" s="385"/>
      <c r="G98" s="31"/>
      <c r="H98" s="31"/>
      <c r="I98" s="31"/>
      <c r="J98" s="31"/>
      <c r="W98" s="663"/>
      <c r="X98" s="663"/>
      <c r="Y98" s="663"/>
      <c r="AA98" s="19"/>
    </row>
    <row r="99" spans="1:28" ht="31.5" customHeight="1" x14ac:dyDescent="0.25">
      <c r="A99" s="15"/>
      <c r="B99" s="439" t="s">
        <v>107</v>
      </c>
      <c r="C99" s="368" t="s">
        <v>3</v>
      </c>
      <c r="D99" s="422" t="s">
        <v>96</v>
      </c>
      <c r="F99" s="31"/>
      <c r="G99" s="31"/>
      <c r="H99" s="31"/>
      <c r="I99" s="31"/>
      <c r="L99" s="22"/>
      <c r="M99" s="19"/>
      <c r="P99" s="22"/>
      <c r="V99" s="163"/>
      <c r="W99" s="261" t="s">
        <v>10</v>
      </c>
      <c r="X99" s="264" t="s">
        <v>5</v>
      </c>
      <c r="Y99" s="261" t="s">
        <v>4</v>
      </c>
      <c r="AA99" s="19"/>
      <c r="AB99" s="16"/>
    </row>
    <row r="100" spans="1:28" s="36" customFormat="1" ht="30" customHeight="1" x14ac:dyDescent="0.35">
      <c r="A100" s="34"/>
      <c r="B100" s="386" t="s">
        <v>105</v>
      </c>
      <c r="C100" s="377">
        <f t="shared" ref="C100:C106" si="4">+X100</f>
        <v>21</v>
      </c>
      <c r="D100" s="387">
        <f t="shared" ref="D100:D106" si="5">+Y100/1000000</f>
        <v>495.23270857</v>
      </c>
      <c r="E100" s="377"/>
      <c r="F100" s="42"/>
      <c r="G100" s="42"/>
      <c r="H100" s="42"/>
      <c r="I100" s="42"/>
      <c r="L100" s="43"/>
      <c r="P100" s="43"/>
      <c r="Q100" s="43"/>
      <c r="R100" s="43"/>
      <c r="S100" s="43"/>
      <c r="T100" s="43"/>
      <c r="U100" s="43"/>
      <c r="V100" s="149"/>
      <c r="W100" s="323" t="s">
        <v>105</v>
      </c>
      <c r="X100" s="324">
        <v>21</v>
      </c>
      <c r="Y100" s="325">
        <v>495232708.56999999</v>
      </c>
      <c r="Z100" s="148"/>
      <c r="AA100" s="19"/>
      <c r="AB100" s="16"/>
    </row>
    <row r="101" spans="1:28" s="36" customFormat="1" ht="30" customHeight="1" x14ac:dyDescent="0.35">
      <c r="A101" s="34"/>
      <c r="B101" s="377" t="s">
        <v>106</v>
      </c>
      <c r="C101" s="377">
        <f t="shared" si="4"/>
        <v>99</v>
      </c>
      <c r="D101" s="387">
        <f>+Y101/1000000</f>
        <v>2081.8440150500001</v>
      </c>
      <c r="E101" s="377"/>
      <c r="F101" s="42"/>
      <c r="G101" s="42"/>
      <c r="H101" s="42"/>
      <c r="I101" s="42"/>
      <c r="L101" s="43"/>
      <c r="P101" s="43"/>
      <c r="Q101" s="43"/>
      <c r="R101" s="43"/>
      <c r="S101" s="43"/>
      <c r="T101" s="43"/>
      <c r="U101" s="43"/>
      <c r="V101" s="149"/>
      <c r="W101" s="323" t="s">
        <v>106</v>
      </c>
      <c r="X101" s="324">
        <v>99</v>
      </c>
      <c r="Y101" s="325">
        <v>2081844015.05</v>
      </c>
      <c r="Z101" s="148"/>
      <c r="AA101" s="19"/>
      <c r="AB101" s="16"/>
    </row>
    <row r="102" spans="1:28" s="36" customFormat="1" ht="30" customHeight="1" x14ac:dyDescent="0.35">
      <c r="B102" s="386" t="s">
        <v>14</v>
      </c>
      <c r="C102" s="377">
        <f t="shared" si="4"/>
        <v>154</v>
      </c>
      <c r="D102" s="387">
        <f t="shared" si="5"/>
        <v>4413.2809547799998</v>
      </c>
      <c r="E102" s="377"/>
      <c r="F102" s="42"/>
      <c r="G102" s="42"/>
      <c r="H102" s="42"/>
      <c r="I102" s="42"/>
      <c r="L102" s="43"/>
      <c r="P102" s="43"/>
      <c r="Q102" s="43"/>
      <c r="R102" s="43"/>
      <c r="S102" s="43"/>
      <c r="T102" s="43"/>
      <c r="U102" s="43"/>
      <c r="V102" s="149"/>
      <c r="W102" s="323" t="s">
        <v>14</v>
      </c>
      <c r="X102" s="324">
        <v>154</v>
      </c>
      <c r="Y102" s="325">
        <v>4413280954.7799997</v>
      </c>
      <c r="Z102" s="148"/>
      <c r="AA102" s="19"/>
      <c r="AB102" s="16"/>
    </row>
    <row r="103" spans="1:28" s="36" customFormat="1" ht="30" customHeight="1" x14ac:dyDescent="0.35">
      <c r="A103" s="34"/>
      <c r="B103" s="377" t="s">
        <v>15</v>
      </c>
      <c r="C103" s="377">
        <f t="shared" si="4"/>
        <v>90</v>
      </c>
      <c r="D103" s="387">
        <f t="shared" si="5"/>
        <v>1897.85438464</v>
      </c>
      <c r="E103" s="377"/>
      <c r="F103" s="42"/>
      <c r="G103" s="42"/>
      <c r="H103" s="42"/>
      <c r="I103" s="42"/>
      <c r="L103" s="43"/>
      <c r="P103" s="43"/>
      <c r="Q103" s="43"/>
      <c r="R103" s="43"/>
      <c r="S103" s="43"/>
      <c r="T103" s="43"/>
      <c r="U103" s="43"/>
      <c r="V103" s="149"/>
      <c r="W103" s="323" t="s">
        <v>15</v>
      </c>
      <c r="X103" s="324">
        <v>90</v>
      </c>
      <c r="Y103" s="325">
        <v>1897854384.6400001</v>
      </c>
      <c r="Z103" s="148"/>
      <c r="AA103" s="19"/>
      <c r="AB103" s="16"/>
    </row>
    <row r="104" spans="1:28" s="36" customFormat="1" ht="30" customHeight="1" x14ac:dyDescent="0.35">
      <c r="A104" s="34"/>
      <c r="B104" s="386" t="s">
        <v>16</v>
      </c>
      <c r="C104" s="377">
        <f t="shared" si="4"/>
        <v>90</v>
      </c>
      <c r="D104" s="387">
        <f t="shared" si="5"/>
        <v>1537.2680630699999</v>
      </c>
      <c r="E104" s="377"/>
      <c r="F104" s="42"/>
      <c r="G104" s="42"/>
      <c r="H104" s="42"/>
      <c r="I104" s="42"/>
      <c r="L104" s="43"/>
      <c r="P104" s="43"/>
      <c r="Q104" s="43"/>
      <c r="R104" s="43"/>
      <c r="S104" s="43"/>
      <c r="T104" s="43"/>
      <c r="U104" s="43"/>
      <c r="V104" s="149"/>
      <c r="W104" s="323" t="s">
        <v>16</v>
      </c>
      <c r="X104" s="324">
        <v>90</v>
      </c>
      <c r="Y104" s="325">
        <v>1537268063.0699999</v>
      </c>
      <c r="Z104" s="148"/>
      <c r="AA104" s="19"/>
      <c r="AB104" s="16"/>
    </row>
    <row r="105" spans="1:28" s="36" customFormat="1" ht="30" customHeight="1" x14ac:dyDescent="0.35">
      <c r="A105" s="34"/>
      <c r="B105" s="377" t="s">
        <v>18</v>
      </c>
      <c r="C105" s="377">
        <f t="shared" si="4"/>
        <v>167</v>
      </c>
      <c r="D105" s="387">
        <f t="shared" si="5"/>
        <v>3363.4511976399999</v>
      </c>
      <c r="E105" s="377"/>
      <c r="F105" s="42"/>
      <c r="G105" s="42"/>
      <c r="H105" s="42"/>
      <c r="I105" s="42"/>
      <c r="L105" s="43"/>
      <c r="P105" s="43"/>
      <c r="Q105" s="43"/>
      <c r="R105" s="43"/>
      <c r="S105" s="43"/>
      <c r="T105" s="43"/>
      <c r="U105" s="43"/>
      <c r="V105" s="149"/>
      <c r="W105" s="323" t="s">
        <v>18</v>
      </c>
      <c r="X105" s="324">
        <v>167</v>
      </c>
      <c r="Y105" s="325">
        <v>3363451197.6399999</v>
      </c>
      <c r="Z105" s="148"/>
      <c r="AA105" s="19"/>
      <c r="AB105" s="16"/>
    </row>
    <row r="106" spans="1:28" s="36" customFormat="1" ht="30" customHeight="1" x14ac:dyDescent="0.35">
      <c r="A106" s="34"/>
      <c r="B106" s="386" t="s">
        <v>17</v>
      </c>
      <c r="C106" s="377">
        <f t="shared" si="4"/>
        <v>81</v>
      </c>
      <c r="D106" s="387">
        <f t="shared" si="5"/>
        <v>1458.5168490899998</v>
      </c>
      <c r="E106" s="377"/>
      <c r="F106" s="42"/>
      <c r="G106" s="42"/>
      <c r="H106" s="42"/>
      <c r="I106" s="42"/>
      <c r="L106" s="43"/>
      <c r="P106" s="43"/>
      <c r="Q106" s="43"/>
      <c r="R106" s="43"/>
      <c r="S106" s="43"/>
      <c r="T106" s="43"/>
      <c r="U106" s="43"/>
      <c r="V106" s="149"/>
      <c r="W106" s="323" t="s">
        <v>17</v>
      </c>
      <c r="X106" s="324">
        <v>81</v>
      </c>
      <c r="Y106" s="325">
        <v>1458516849.0899999</v>
      </c>
      <c r="Z106" s="148"/>
      <c r="AA106" s="19"/>
      <c r="AB106" s="16"/>
    </row>
    <row r="107" spans="1:28" x14ac:dyDescent="0.25">
      <c r="A107" s="15"/>
      <c r="B107" s="427" t="s">
        <v>6</v>
      </c>
      <c r="C107" s="366">
        <f>SUM(C100:C106)</f>
        <v>702</v>
      </c>
      <c r="D107" s="423">
        <f>SUM(D100:D106)</f>
        <v>15247.448172839999</v>
      </c>
      <c r="F107" s="31"/>
      <c r="G107" s="31"/>
      <c r="H107" s="31"/>
      <c r="I107" s="31"/>
      <c r="L107" s="22"/>
      <c r="M107" s="19"/>
      <c r="P107" s="22"/>
      <c r="V107" s="163"/>
      <c r="W107" s="258" t="s">
        <v>6</v>
      </c>
      <c r="X107" s="262">
        <f>SUM(X100:X106)</f>
        <v>702</v>
      </c>
      <c r="Y107" s="263">
        <f>SUM(Y100:Y106)</f>
        <v>15247448172.839998</v>
      </c>
      <c r="AA107" s="19"/>
      <c r="AB107" s="16"/>
    </row>
    <row r="108" spans="1:28" x14ac:dyDescent="0.25">
      <c r="A108" s="15"/>
      <c r="C108" s="388"/>
      <c r="D108" s="388"/>
      <c r="E108" s="389"/>
      <c r="G108" s="31"/>
      <c r="H108" s="31"/>
      <c r="I108" s="31"/>
      <c r="J108" s="31"/>
      <c r="Z108" s="163"/>
    </row>
    <row r="109" spans="1:28" x14ac:dyDescent="0.25">
      <c r="A109" s="26"/>
      <c r="B109" s="384"/>
      <c r="C109" s="385"/>
      <c r="D109" s="385"/>
      <c r="E109" s="390"/>
      <c r="G109" s="31"/>
      <c r="H109" s="31"/>
      <c r="I109" s="31"/>
      <c r="J109" s="31"/>
      <c r="Z109" s="163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3"/>
    </row>
    <row r="111" spans="1:28" ht="26.25" customHeight="1" x14ac:dyDescent="0.25">
      <c r="A111" s="26"/>
      <c r="B111" s="645" t="s">
        <v>156</v>
      </c>
      <c r="C111" s="645"/>
      <c r="D111" s="645"/>
      <c r="E111" s="636"/>
      <c r="G111" s="31"/>
      <c r="H111" s="31"/>
      <c r="I111" s="31"/>
      <c r="J111" s="31"/>
      <c r="Z111" s="163"/>
    </row>
    <row r="112" spans="1:28" x14ac:dyDescent="0.25">
      <c r="A112" s="15"/>
      <c r="B112" s="54"/>
      <c r="G112" s="31"/>
      <c r="H112" s="31"/>
      <c r="I112" s="31"/>
      <c r="J112" s="31"/>
      <c r="Z112" s="163"/>
    </row>
    <row r="113" spans="1:25" ht="15" customHeight="1" x14ac:dyDescent="0.25">
      <c r="A113" s="15"/>
      <c r="B113" s="428" t="s">
        <v>108</v>
      </c>
      <c r="C113" s="368" t="s">
        <v>3</v>
      </c>
      <c r="D113" s="422" t="s">
        <v>96</v>
      </c>
      <c r="G113" s="31"/>
      <c r="H113" s="31"/>
      <c r="I113" s="31"/>
      <c r="L113" s="22"/>
      <c r="M113" s="19"/>
      <c r="P113" s="22"/>
      <c r="V113" s="163"/>
      <c r="W113" s="151"/>
      <c r="Y113" s="163"/>
    </row>
    <row r="114" spans="1:25" s="36" customFormat="1" ht="30" customHeight="1" x14ac:dyDescent="0.25">
      <c r="A114" s="34"/>
      <c r="B114" s="386" t="s">
        <v>105</v>
      </c>
      <c r="C114" s="377">
        <f>+C86+C100</f>
        <v>257</v>
      </c>
      <c r="D114" s="387">
        <f>+D86+D100</f>
        <v>2449.3007085700001</v>
      </c>
      <c r="E114" s="377"/>
      <c r="G114" s="42"/>
      <c r="H114" s="42"/>
      <c r="I114" s="42"/>
      <c r="L114" s="43"/>
      <c r="P114" s="43"/>
      <c r="Q114" s="43"/>
      <c r="R114" s="43"/>
      <c r="S114" s="43"/>
      <c r="T114" s="43"/>
      <c r="U114" s="43"/>
      <c r="V114" s="149"/>
      <c r="W114" s="148"/>
      <c r="X114" s="148"/>
      <c r="Y114" s="149"/>
    </row>
    <row r="115" spans="1:25" s="36" customFormat="1" ht="30" customHeight="1" x14ac:dyDescent="0.25">
      <c r="A115" s="34"/>
      <c r="B115" s="377" t="s">
        <v>106</v>
      </c>
      <c r="C115" s="377">
        <f t="shared" ref="C115:C120" si="6">+C87+C101</f>
        <v>333</v>
      </c>
      <c r="D115" s="387">
        <f t="shared" ref="D115:D120" si="7">+D87+D101</f>
        <v>4203.6030150500001</v>
      </c>
      <c r="E115" s="377"/>
      <c r="G115" s="42"/>
      <c r="H115" s="42"/>
      <c r="I115" s="42"/>
      <c r="L115" s="43"/>
      <c r="N115" s="19"/>
      <c r="P115" s="43"/>
      <c r="Q115" s="43"/>
      <c r="R115" s="43"/>
      <c r="S115" s="43"/>
      <c r="T115" s="43"/>
      <c r="U115" s="43"/>
      <c r="V115" s="149"/>
      <c r="W115" s="148"/>
      <c r="X115" s="148"/>
      <c r="Y115" s="149"/>
    </row>
    <row r="116" spans="1:25" s="36" customFormat="1" ht="30" customHeight="1" x14ac:dyDescent="0.25">
      <c r="B116" s="386" t="s">
        <v>14</v>
      </c>
      <c r="C116" s="377">
        <f>+C88+C102</f>
        <v>498</v>
      </c>
      <c r="D116" s="387">
        <f t="shared" si="7"/>
        <v>7620.9849547800004</v>
      </c>
      <c r="E116" s="377"/>
      <c r="G116" s="42"/>
      <c r="H116" s="42"/>
      <c r="I116" s="42"/>
      <c r="L116" s="43"/>
      <c r="N116" s="418"/>
      <c r="P116" s="43"/>
      <c r="Q116" s="43"/>
      <c r="R116" s="43"/>
      <c r="S116" s="43"/>
      <c r="T116" s="43"/>
      <c r="U116" s="43"/>
      <c r="V116" s="149"/>
      <c r="W116" s="148"/>
      <c r="X116" s="148"/>
      <c r="Y116" s="149"/>
    </row>
    <row r="117" spans="1:25" s="36" customFormat="1" ht="30" customHeight="1" x14ac:dyDescent="0.25">
      <c r="A117" s="34"/>
      <c r="B117" s="377" t="s">
        <v>15</v>
      </c>
      <c r="C117" s="377">
        <f t="shared" si="6"/>
        <v>270</v>
      </c>
      <c r="D117" s="387">
        <f t="shared" si="7"/>
        <v>3580.9053846400002</v>
      </c>
      <c r="E117" s="377"/>
      <c r="G117" s="42"/>
      <c r="H117" s="42"/>
      <c r="I117" s="42"/>
      <c r="L117" s="43"/>
      <c r="P117" s="43"/>
      <c r="Q117" s="43"/>
      <c r="R117" s="43"/>
      <c r="S117" s="43"/>
      <c r="T117" s="43"/>
      <c r="U117" s="43"/>
      <c r="V117" s="149"/>
      <c r="W117" s="148"/>
      <c r="X117" s="148"/>
      <c r="Y117" s="149"/>
    </row>
    <row r="118" spans="1:25" s="36" customFormat="1" ht="30" customHeight="1" x14ac:dyDescent="0.25">
      <c r="A118" s="34"/>
      <c r="B118" s="386" t="s">
        <v>16</v>
      </c>
      <c r="C118" s="377">
        <f t="shared" si="6"/>
        <v>678</v>
      </c>
      <c r="D118" s="387">
        <f t="shared" si="7"/>
        <v>7055.9560630699998</v>
      </c>
      <c r="E118" s="377"/>
      <c r="G118" s="42"/>
      <c r="H118" s="42"/>
      <c r="I118" s="42"/>
      <c r="L118" s="43"/>
      <c r="P118" s="43"/>
      <c r="Q118" s="43"/>
      <c r="R118" s="43"/>
      <c r="S118" s="43"/>
      <c r="T118" s="43"/>
      <c r="U118" s="43"/>
      <c r="V118" s="149"/>
      <c r="W118" s="148"/>
      <c r="X118" s="148"/>
      <c r="Y118" s="149"/>
    </row>
    <row r="119" spans="1:25" s="36" customFormat="1" ht="30" customHeight="1" x14ac:dyDescent="0.25">
      <c r="A119" s="34"/>
      <c r="B119" s="377" t="s">
        <v>18</v>
      </c>
      <c r="C119" s="377">
        <f t="shared" si="6"/>
        <v>649</v>
      </c>
      <c r="D119" s="387">
        <f t="shared" si="7"/>
        <v>7889.1351976400001</v>
      </c>
      <c r="E119" s="377"/>
      <c r="G119" s="42"/>
      <c r="H119" s="42"/>
      <c r="I119" s="42"/>
      <c r="L119" s="43"/>
      <c r="P119" s="43"/>
      <c r="Q119" s="43"/>
      <c r="R119" s="43"/>
      <c r="S119" s="43"/>
      <c r="T119" s="43"/>
      <c r="U119" s="43"/>
      <c r="V119" s="149"/>
      <c r="W119" s="148"/>
      <c r="X119" s="148"/>
      <c r="Y119" s="149"/>
    </row>
    <row r="120" spans="1:25" s="36" customFormat="1" ht="30" customHeight="1" x14ac:dyDescent="0.25">
      <c r="A120" s="34"/>
      <c r="B120" s="386" t="s">
        <v>17</v>
      </c>
      <c r="C120" s="377">
        <f t="shared" si="6"/>
        <v>784</v>
      </c>
      <c r="D120" s="387">
        <f t="shared" si="7"/>
        <v>8041.7348490899994</v>
      </c>
      <c r="E120" s="377"/>
      <c r="G120" s="42"/>
      <c r="H120" s="42"/>
      <c r="I120" s="42"/>
      <c r="L120" s="43"/>
      <c r="P120" s="43"/>
      <c r="Q120" s="43"/>
      <c r="R120" s="43"/>
      <c r="S120" s="43"/>
      <c r="T120" s="43"/>
      <c r="U120" s="43"/>
      <c r="V120" s="149"/>
      <c r="W120" s="148"/>
      <c r="X120" s="148"/>
      <c r="Y120" s="149"/>
    </row>
    <row r="121" spans="1:25" s="36" customFormat="1" x14ac:dyDescent="0.25">
      <c r="A121" s="34"/>
      <c r="B121" s="429" t="s">
        <v>6</v>
      </c>
      <c r="C121" s="366">
        <f>SUM(C114:C120)</f>
        <v>3469</v>
      </c>
      <c r="D121" s="423">
        <f>SUM(D114:D120)</f>
        <v>40841.620172839997</v>
      </c>
      <c r="E121" s="377"/>
      <c r="G121" s="42"/>
      <c r="H121" s="42"/>
      <c r="I121" s="42"/>
      <c r="L121" s="43"/>
      <c r="P121" s="43"/>
      <c r="Q121" s="43"/>
      <c r="R121" s="43"/>
      <c r="S121" s="43"/>
      <c r="T121" s="43"/>
      <c r="U121" s="43"/>
      <c r="V121" s="149"/>
      <c r="W121" s="148"/>
      <c r="X121" s="148"/>
      <c r="Y121" s="149"/>
    </row>
    <row r="122" spans="1:25" ht="15" customHeight="1" x14ac:dyDescent="0.25">
      <c r="A122" s="15"/>
      <c r="C122" s="388"/>
      <c r="D122" s="388"/>
      <c r="E122" s="389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9"/>
      <c r="X122" s="148"/>
      <c r="Y122" s="148"/>
    </row>
    <row r="123" spans="1:25" ht="15" customHeight="1" x14ac:dyDescent="0.25">
      <c r="A123" s="15"/>
      <c r="B123" s="391"/>
      <c r="C123" s="388"/>
      <c r="D123" s="388"/>
      <c r="E123" s="389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9"/>
      <c r="X123" s="148"/>
      <c r="Y123" s="148"/>
    </row>
    <row r="124" spans="1:25" ht="15" customHeight="1" x14ac:dyDescent="0.25">
      <c r="A124" s="15"/>
      <c r="G124" s="19"/>
      <c r="H124" s="31"/>
      <c r="I124" s="31"/>
      <c r="J124" s="31"/>
      <c r="W124" s="149"/>
      <c r="X124" s="148"/>
      <c r="Y124" s="148"/>
    </row>
    <row r="125" spans="1:25" ht="26.25" customHeight="1" x14ac:dyDescent="0.25">
      <c r="A125" s="26"/>
      <c r="B125" s="645" t="s">
        <v>157</v>
      </c>
      <c r="C125" s="645"/>
      <c r="D125" s="645"/>
      <c r="E125" s="636"/>
      <c r="H125" s="12"/>
      <c r="I125" s="12"/>
      <c r="J125" s="12"/>
      <c r="X125" s="179"/>
      <c r="Y125" s="180"/>
    </row>
    <row r="126" spans="1:25" x14ac:dyDescent="0.25">
      <c r="A126" s="15"/>
      <c r="H126" s="12"/>
      <c r="I126" s="12"/>
      <c r="J126" s="12"/>
      <c r="X126" s="179"/>
      <c r="Y126" s="180"/>
    </row>
    <row r="127" spans="1:25" ht="15" customHeight="1" x14ac:dyDescent="0.35">
      <c r="A127" s="15"/>
      <c r="B127" s="428" t="s">
        <v>19</v>
      </c>
      <c r="C127" s="368" t="s">
        <v>3</v>
      </c>
      <c r="D127" s="422" t="s">
        <v>96</v>
      </c>
      <c r="E127" s="391"/>
      <c r="F127" s="12"/>
      <c r="H127" s="12"/>
      <c r="I127" s="12"/>
      <c r="L127" s="22"/>
      <c r="M127" s="19"/>
      <c r="P127" s="22"/>
      <c r="V127" s="163"/>
      <c r="W127" s="351" t="s">
        <v>114</v>
      </c>
      <c r="X127" s="351" t="s">
        <v>5</v>
      </c>
      <c r="Y127" s="351" t="s">
        <v>43</v>
      </c>
    </row>
    <row r="128" spans="1:25" ht="30" customHeight="1" x14ac:dyDescent="0.35">
      <c r="A128" s="15"/>
      <c r="B128" s="392" t="s">
        <v>20</v>
      </c>
      <c r="C128" s="377">
        <f>X134</f>
        <v>682</v>
      </c>
      <c r="D128" s="387">
        <f>Y134/1000000</f>
        <v>11867.57303401</v>
      </c>
      <c r="E128" s="391"/>
      <c r="F128" s="12"/>
      <c r="H128" s="12"/>
      <c r="I128" s="12"/>
      <c r="L128" s="22"/>
      <c r="M128" s="19"/>
      <c r="N128" s="68"/>
      <c r="P128" s="22"/>
      <c r="V128" s="163"/>
      <c r="W128" s="352" t="s">
        <v>113</v>
      </c>
      <c r="X128">
        <v>225</v>
      </c>
      <c r="Y128">
        <v>2280209518.0100002</v>
      </c>
    </row>
    <row r="129" spans="1:28" s="36" customFormat="1" ht="30" customHeight="1" x14ac:dyDescent="0.35">
      <c r="A129" s="34"/>
      <c r="B129" s="392" t="s">
        <v>21</v>
      </c>
      <c r="C129" s="377">
        <f>X129</f>
        <v>2296</v>
      </c>
      <c r="D129" s="387">
        <f>Y129/1000000</f>
        <v>23701.364647049999</v>
      </c>
      <c r="E129" s="377"/>
      <c r="L129" s="43"/>
      <c r="N129" s="132"/>
      <c r="P129" s="43"/>
      <c r="Q129" s="43"/>
      <c r="R129" s="43"/>
      <c r="S129" s="43"/>
      <c r="T129" s="43"/>
      <c r="U129" s="43"/>
      <c r="V129" s="166"/>
      <c r="W129" s="352" t="s">
        <v>98</v>
      </c>
      <c r="X129">
        <v>2296</v>
      </c>
      <c r="Y129">
        <v>23701364647.049999</v>
      </c>
      <c r="Z129" s="151"/>
      <c r="AA129" s="19"/>
      <c r="AB129" s="19"/>
    </row>
    <row r="130" spans="1:28" s="36" customFormat="1" ht="30" customHeight="1" x14ac:dyDescent="0.35">
      <c r="A130" s="34"/>
      <c r="B130" s="392" t="s">
        <v>22</v>
      </c>
      <c r="C130" s="377">
        <f>X132</f>
        <v>188</v>
      </c>
      <c r="D130" s="387">
        <f>Y132/1000000</f>
        <v>2133.2639737700001</v>
      </c>
      <c r="E130" s="377"/>
      <c r="L130" s="43"/>
      <c r="N130" s="132"/>
      <c r="P130" s="43"/>
      <c r="Q130" s="43"/>
      <c r="R130" s="43"/>
      <c r="S130" s="43"/>
      <c r="T130" s="43"/>
      <c r="U130" s="43"/>
      <c r="V130" s="166"/>
      <c r="W130" s="352" t="s">
        <v>205</v>
      </c>
      <c r="X130">
        <v>21</v>
      </c>
      <c r="Y130">
        <v>216443000</v>
      </c>
      <c r="Z130" s="151"/>
      <c r="AA130" s="19"/>
      <c r="AB130" s="19"/>
    </row>
    <row r="131" spans="1:28" s="36" customFormat="1" ht="30" customHeight="1" x14ac:dyDescent="0.35">
      <c r="A131" s="34"/>
      <c r="B131" s="392" t="s">
        <v>23</v>
      </c>
      <c r="C131" s="377">
        <f>X128</f>
        <v>225</v>
      </c>
      <c r="D131" s="387">
        <f>Y128/1000000</f>
        <v>2280.20951801</v>
      </c>
      <c r="E131" s="377"/>
      <c r="L131" s="43"/>
      <c r="N131" s="132"/>
      <c r="P131" s="43"/>
      <c r="Q131" s="43"/>
      <c r="R131" s="43"/>
      <c r="S131" s="43"/>
      <c r="T131" s="43"/>
      <c r="U131" s="43"/>
      <c r="V131" s="166"/>
      <c r="W131" s="352" t="s">
        <v>115</v>
      </c>
      <c r="X131">
        <v>57</v>
      </c>
      <c r="Y131">
        <v>642766000</v>
      </c>
      <c r="Z131" s="151"/>
      <c r="AA131" s="19"/>
      <c r="AB131" s="19"/>
    </row>
    <row r="132" spans="1:28" s="36" customFormat="1" ht="30" customHeight="1" x14ac:dyDescent="0.35">
      <c r="A132" s="34"/>
      <c r="B132" s="392" t="s">
        <v>109</v>
      </c>
      <c r="C132" s="377">
        <f>X130+X131+X133</f>
        <v>78</v>
      </c>
      <c r="D132" s="387">
        <f>(Y130+Y131+Y133)/1000000</f>
        <v>859.20899999999995</v>
      </c>
      <c r="E132" s="377"/>
      <c r="L132" s="43"/>
      <c r="N132" s="119"/>
      <c r="P132" s="43"/>
      <c r="Q132" s="43"/>
      <c r="R132" s="43"/>
      <c r="S132" s="43"/>
      <c r="T132" s="43"/>
      <c r="U132" s="43"/>
      <c r="V132" s="166"/>
      <c r="W132" s="352" t="s">
        <v>99</v>
      </c>
      <c r="X132">
        <v>188</v>
      </c>
      <c r="Y132">
        <v>2133263973.77</v>
      </c>
      <c r="Z132" s="151"/>
      <c r="AA132" s="19"/>
      <c r="AB132" s="19"/>
    </row>
    <row r="133" spans="1:28" s="36" customFormat="1" ht="30" customHeight="1" x14ac:dyDescent="0.35">
      <c r="A133" s="34"/>
      <c r="B133" s="392" t="s">
        <v>110</v>
      </c>
      <c r="C133" s="377">
        <v>0</v>
      </c>
      <c r="D133" s="387">
        <v>0</v>
      </c>
      <c r="E133" s="377"/>
      <c r="L133" s="43"/>
      <c r="N133" s="43"/>
      <c r="P133" s="43"/>
      <c r="Q133" s="43"/>
      <c r="R133" s="43"/>
      <c r="S133" s="43"/>
      <c r="T133" s="43"/>
      <c r="U133" s="43"/>
      <c r="V133" s="166"/>
      <c r="W133" s="352" t="s">
        <v>120</v>
      </c>
      <c r="X133" s="405">
        <v>0</v>
      </c>
      <c r="Y133" s="405">
        <v>0</v>
      </c>
      <c r="Z133" s="151"/>
      <c r="AA133" s="19"/>
      <c r="AB133" s="19"/>
    </row>
    <row r="134" spans="1:28" s="36" customFormat="1" ht="30" customHeight="1" x14ac:dyDescent="0.35">
      <c r="A134" s="34"/>
      <c r="B134" s="392" t="s">
        <v>199</v>
      </c>
      <c r="C134" s="377">
        <v>0</v>
      </c>
      <c r="D134" s="387">
        <v>0</v>
      </c>
      <c r="E134" s="377"/>
      <c r="L134" s="43"/>
      <c r="N134" s="132"/>
      <c r="P134" s="43"/>
      <c r="Q134" s="43"/>
      <c r="R134" s="43"/>
      <c r="S134" s="43"/>
      <c r="T134" s="43"/>
      <c r="U134" s="43"/>
      <c r="V134" s="166"/>
      <c r="W134" s="352" t="s">
        <v>102</v>
      </c>
      <c r="X134">
        <v>682</v>
      </c>
      <c r="Y134">
        <v>11867573034.01</v>
      </c>
      <c r="Z134" s="151"/>
      <c r="AA134" s="19"/>
      <c r="AB134" s="19"/>
    </row>
    <row r="135" spans="1:28" s="36" customFormat="1" ht="15" customHeight="1" x14ac:dyDescent="0.25">
      <c r="A135" s="34"/>
      <c r="B135" s="430" t="s">
        <v>6</v>
      </c>
      <c r="C135" s="393">
        <f>SUM(C128:C134)</f>
        <v>3469</v>
      </c>
      <c r="D135" s="431">
        <f>SUM(D128:D134)</f>
        <v>40841.620172840005</v>
      </c>
      <c r="E135" s="377"/>
      <c r="L135" s="43"/>
      <c r="P135" s="43"/>
      <c r="Q135" s="43"/>
      <c r="R135" s="43"/>
      <c r="S135" s="43"/>
      <c r="T135" s="43"/>
      <c r="U135" s="43"/>
      <c r="V135" s="166"/>
      <c r="W135" s="245" t="s">
        <v>6</v>
      </c>
      <c r="X135" s="246">
        <f>SUM(X128:X134)</f>
        <v>3469</v>
      </c>
      <c r="Y135" s="244">
        <f>SUM(Y128:Y134)</f>
        <v>40841620172.839996</v>
      </c>
      <c r="Z135" s="151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1"/>
      <c r="H137" s="12"/>
      <c r="I137" s="12"/>
      <c r="J137" s="12"/>
      <c r="Q137" s="23"/>
      <c r="R137" s="23"/>
      <c r="S137" s="23"/>
      <c r="T137" s="23"/>
      <c r="U137" s="23"/>
      <c r="V137" s="23"/>
      <c r="X137" s="181"/>
      <c r="Y137" s="181"/>
      <c r="Z137" s="181"/>
    </row>
    <row r="138" spans="1:28" ht="15" customHeight="1" x14ac:dyDescent="0.25">
      <c r="A138" s="15"/>
      <c r="H138" s="12"/>
      <c r="I138" s="12"/>
      <c r="J138" s="12"/>
      <c r="X138" s="181"/>
      <c r="Y138" s="181"/>
      <c r="Z138" s="181"/>
    </row>
    <row r="139" spans="1:28" ht="26.25" customHeight="1" x14ac:dyDescent="0.25">
      <c r="A139" s="26"/>
      <c r="B139" s="645" t="s">
        <v>158</v>
      </c>
      <c r="C139" s="645"/>
      <c r="D139" s="645"/>
      <c r="E139" s="636"/>
      <c r="H139" s="12"/>
      <c r="I139" s="12"/>
      <c r="J139" s="12"/>
      <c r="X139" s="181"/>
      <c r="Y139" s="181"/>
      <c r="Z139" s="181"/>
    </row>
    <row r="140" spans="1:28" x14ac:dyDescent="0.25">
      <c r="A140" s="15"/>
      <c r="H140" s="12"/>
      <c r="I140" s="12"/>
      <c r="J140" s="12"/>
      <c r="X140" s="181"/>
      <c r="Y140" s="181"/>
      <c r="Z140" s="181"/>
    </row>
    <row r="141" spans="1:28" ht="15" customHeight="1" x14ac:dyDescent="0.25">
      <c r="A141" s="15"/>
      <c r="B141" s="428" t="s">
        <v>24</v>
      </c>
      <c r="C141" s="368" t="s">
        <v>3</v>
      </c>
      <c r="D141" s="432" t="s">
        <v>96</v>
      </c>
      <c r="F141" s="12"/>
      <c r="H141" s="12"/>
      <c r="I141" s="12"/>
      <c r="L141" s="22"/>
      <c r="M141" s="19"/>
      <c r="P141" s="22"/>
      <c r="V141" s="163"/>
      <c r="W141" s="151"/>
      <c r="Y141" s="163"/>
      <c r="AA141" s="19"/>
      <c r="AB141" s="16"/>
    </row>
    <row r="142" spans="1:28" ht="30" customHeight="1" x14ac:dyDescent="0.35">
      <c r="A142" s="15"/>
      <c r="B142" s="394" t="s">
        <v>26</v>
      </c>
      <c r="C142" s="377">
        <f t="shared" ref="C142:D144" si="8">X144</f>
        <v>2191</v>
      </c>
      <c r="D142" s="387">
        <f t="shared" si="8"/>
        <v>27021989745.599998</v>
      </c>
      <c r="F142" s="12"/>
      <c r="H142" s="12"/>
      <c r="I142" s="12"/>
      <c r="L142" s="22"/>
      <c r="M142" s="19"/>
      <c r="P142" s="22"/>
      <c r="V142" s="163"/>
      <c r="W142" s="349" t="s">
        <v>25</v>
      </c>
      <c r="X142" s="349" t="s">
        <v>210</v>
      </c>
      <c r="Y142" s="349" t="s">
        <v>43</v>
      </c>
      <c r="AA142" s="19"/>
    </row>
    <row r="143" spans="1:28" ht="30" customHeight="1" x14ac:dyDescent="0.35">
      <c r="A143" s="15"/>
      <c r="B143" s="394" t="s">
        <v>275</v>
      </c>
      <c r="C143" s="377">
        <f t="shared" si="8"/>
        <v>31</v>
      </c>
      <c r="D143" s="387">
        <f t="shared" si="8"/>
        <v>330452114.38</v>
      </c>
      <c r="F143" s="12"/>
      <c r="H143" s="12"/>
      <c r="I143" s="12"/>
      <c r="L143" s="22"/>
      <c r="M143" s="19"/>
      <c r="O143" s="5"/>
      <c r="P143" s="22"/>
      <c r="V143" s="163"/>
      <c r="W143" s="404" t="s">
        <v>25</v>
      </c>
      <c r="X143" s="404" t="s">
        <v>210</v>
      </c>
      <c r="Y143" s="404" t="s">
        <v>43</v>
      </c>
      <c r="AA143" s="19"/>
    </row>
    <row r="144" spans="1:28" ht="30" customHeight="1" x14ac:dyDescent="0.35">
      <c r="A144" s="15"/>
      <c r="B144" s="394" t="s">
        <v>27</v>
      </c>
      <c r="C144" s="377">
        <f t="shared" si="8"/>
        <v>1247</v>
      </c>
      <c r="D144" s="387">
        <f t="shared" si="8"/>
        <v>13489178312.860001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6"/>
      <c r="W144" s="350" t="s">
        <v>95</v>
      </c>
      <c r="X144">
        <v>2191</v>
      </c>
      <c r="Y144" s="413">
        <v>27021989745.599998</v>
      </c>
      <c r="AA144" s="19"/>
    </row>
    <row r="145" spans="1:28" ht="30" customHeight="1" x14ac:dyDescent="0.35">
      <c r="A145" s="15"/>
      <c r="B145" s="394" t="s">
        <v>160</v>
      </c>
      <c r="C145" s="377">
        <v>0</v>
      </c>
      <c r="D145" s="387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66"/>
      <c r="W145" s="350" t="s">
        <v>273</v>
      </c>
      <c r="X145" s="414">
        <v>31</v>
      </c>
      <c r="Y145" s="415">
        <v>330452114.38</v>
      </c>
      <c r="AA145" s="19"/>
      <c r="AB145" s="5"/>
    </row>
    <row r="146" spans="1:28" ht="15" customHeight="1" x14ac:dyDescent="0.25">
      <c r="A146" s="15"/>
      <c r="B146" s="428" t="s">
        <v>6</v>
      </c>
      <c r="C146" s="393">
        <f>SUM(C142:C145)</f>
        <v>3469</v>
      </c>
      <c r="D146" s="431">
        <f>SUM(D142:D145)</f>
        <v>40841620172.839996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66"/>
      <c r="W146" s="247" t="s">
        <v>94</v>
      </c>
      <c r="X146" s="416">
        <v>1247</v>
      </c>
      <c r="Y146" s="417">
        <v>13489178312.860001</v>
      </c>
      <c r="AA146" s="19"/>
      <c r="AB146" s="5"/>
    </row>
    <row r="147" spans="1:28" ht="15" customHeight="1" x14ac:dyDescent="0.25">
      <c r="A147" s="15"/>
      <c r="B147" s="549" t="s">
        <v>281</v>
      </c>
      <c r="C147" s="395"/>
      <c r="D147" s="395"/>
      <c r="E147" s="396"/>
      <c r="H147" s="12"/>
      <c r="I147" s="12"/>
      <c r="J147" s="12"/>
      <c r="W147" s="245" t="s">
        <v>6</v>
      </c>
      <c r="X147" s="248">
        <f>SUM(X144:X146)</f>
        <v>3469</v>
      </c>
      <c r="Y147" s="249">
        <f>SUM(Y144:Y146)</f>
        <v>40841620172.839996</v>
      </c>
      <c r="AB147" s="5"/>
    </row>
    <row r="148" spans="1:28" ht="15" customHeight="1" x14ac:dyDescent="0.25">
      <c r="A148" s="15"/>
      <c r="B148" s="646" t="s">
        <v>159</v>
      </c>
      <c r="C148" s="646"/>
      <c r="D148" s="646"/>
      <c r="E148" s="644"/>
      <c r="H148" s="12"/>
      <c r="I148" s="12"/>
      <c r="J148" s="12"/>
      <c r="Z148" s="163"/>
    </row>
    <row r="149" spans="1:28" ht="29.15" customHeight="1" x14ac:dyDescent="0.25">
      <c r="A149" s="15"/>
      <c r="B149" s="646"/>
      <c r="C149" s="646"/>
      <c r="D149" s="646"/>
      <c r="E149" s="644"/>
      <c r="G149" s="64"/>
      <c r="H149" s="12"/>
      <c r="I149" s="12"/>
      <c r="J149" s="12"/>
      <c r="W149" s="174"/>
      <c r="AA149" s="152"/>
    </row>
    <row r="150" spans="1:28" ht="18" customHeight="1" x14ac:dyDescent="0.25">
      <c r="A150" s="15"/>
      <c r="B150" s="646"/>
      <c r="C150" s="646"/>
      <c r="D150" s="646"/>
      <c r="E150" s="644"/>
      <c r="H150" s="12"/>
      <c r="I150" s="12"/>
      <c r="J150" s="12"/>
    </row>
    <row r="151" spans="1:28" ht="18" customHeight="1" x14ac:dyDescent="0.25">
      <c r="A151" s="15"/>
      <c r="E151" s="448"/>
      <c r="H151" s="12"/>
      <c r="I151" s="12"/>
      <c r="J151" s="12"/>
    </row>
    <row r="152" spans="1:28" ht="18" customHeight="1" x14ac:dyDescent="0.25">
      <c r="A152" s="15"/>
      <c r="B152" s="449"/>
      <c r="C152" s="450"/>
      <c r="D152" s="450"/>
      <c r="E152" s="383"/>
      <c r="I152" s="65"/>
      <c r="J152" s="63"/>
    </row>
    <row r="153" spans="1:28" ht="18" customHeight="1" x14ac:dyDescent="0.25">
      <c r="A153" s="15"/>
      <c r="B153" s="449"/>
      <c r="C153" s="394"/>
      <c r="D153" s="394"/>
      <c r="E153" s="383"/>
      <c r="I153" s="65"/>
      <c r="J153" s="63"/>
    </row>
    <row r="154" spans="1:28" ht="18" customHeight="1" x14ac:dyDescent="0.25">
      <c r="A154" s="15"/>
      <c r="B154" s="449"/>
      <c r="C154" s="394"/>
      <c r="D154" s="394"/>
      <c r="E154" s="383"/>
      <c r="I154" s="65"/>
      <c r="J154" s="63"/>
    </row>
    <row r="155" spans="1:28" ht="18" customHeight="1" x14ac:dyDescent="0.25">
      <c r="A155" s="15"/>
      <c r="B155" s="449"/>
      <c r="C155" s="394"/>
      <c r="D155" s="394"/>
      <c r="E155" s="448"/>
      <c r="I155" s="65"/>
      <c r="J155" s="12"/>
    </row>
    <row r="156" spans="1:28" ht="26.25" customHeight="1" x14ac:dyDescent="0.25">
      <c r="A156" s="26"/>
      <c r="B156" s="645" t="s">
        <v>185</v>
      </c>
      <c r="C156" s="645"/>
      <c r="D156" s="645"/>
      <c r="E156" s="636"/>
      <c r="J156" s="12"/>
      <c r="W156" s="182"/>
      <c r="X156" s="183"/>
      <c r="Y156" s="184"/>
      <c r="Z156" s="163"/>
    </row>
    <row r="157" spans="1:28" ht="15" customHeight="1" x14ac:dyDescent="0.25">
      <c r="A157" s="15"/>
      <c r="E157" s="451"/>
      <c r="J157" s="12"/>
      <c r="W157" s="182"/>
      <c r="X157" s="278" t="s">
        <v>57</v>
      </c>
      <c r="Y157" s="279" t="s">
        <v>58</v>
      </c>
      <c r="Z157" s="280" t="s">
        <v>43</v>
      </c>
    </row>
    <row r="158" spans="1:28" ht="15" customHeight="1" x14ac:dyDescent="0.25">
      <c r="A158" s="26"/>
      <c r="B158" s="452" t="s">
        <v>122</v>
      </c>
      <c r="C158" s="453" t="s">
        <v>3</v>
      </c>
      <c r="D158" s="422" t="s">
        <v>96</v>
      </c>
      <c r="G158" s="19"/>
      <c r="H158" s="19"/>
      <c r="I158" s="12"/>
      <c r="L158" s="22"/>
      <c r="M158" s="19"/>
      <c r="P158" s="22"/>
      <c r="V158" s="166">
        <f>+C159/C163</f>
        <v>0.53848371288555785</v>
      </c>
      <c r="W158" s="320" t="s">
        <v>215</v>
      </c>
      <c r="X158">
        <v>919</v>
      </c>
      <c r="Y158">
        <v>9938841046.9699821</v>
      </c>
      <c r="AA158" s="19"/>
    </row>
    <row r="159" spans="1:28" ht="30" customHeight="1" x14ac:dyDescent="0.25">
      <c r="A159" s="15"/>
      <c r="B159" s="454" t="s">
        <v>118</v>
      </c>
      <c r="C159" s="377">
        <v>1868</v>
      </c>
      <c r="D159" s="387">
        <v>21663144710.09</v>
      </c>
      <c r="G159" s="19"/>
      <c r="H159" s="19"/>
      <c r="I159" s="12"/>
      <c r="L159" s="22"/>
      <c r="M159" s="19"/>
      <c r="P159" s="22"/>
      <c r="V159" s="166">
        <f>+C160/C163</f>
        <v>0.39521475929662725</v>
      </c>
      <c r="W159" s="320" t="s">
        <v>216</v>
      </c>
      <c r="X159">
        <v>638</v>
      </c>
      <c r="Y159">
        <v>7199017163.6299982</v>
      </c>
      <c r="AA159" s="19"/>
    </row>
    <row r="160" spans="1:28" s="36" customFormat="1" ht="30" customHeight="1" x14ac:dyDescent="0.25">
      <c r="A160" s="34"/>
      <c r="B160" s="454" t="s">
        <v>119</v>
      </c>
      <c r="C160" s="377">
        <v>1371</v>
      </c>
      <c r="D160" s="387">
        <v>16226002278.709991</v>
      </c>
      <c r="E160" s="377"/>
      <c r="L160" s="43"/>
      <c r="P160" s="43"/>
      <c r="Q160" s="43"/>
      <c r="R160" s="43"/>
      <c r="S160" s="43"/>
      <c r="T160" s="43"/>
      <c r="U160" s="43"/>
      <c r="V160" s="166">
        <f>+C161/C163</f>
        <v>6.6301527817814926E-2</v>
      </c>
      <c r="W160" s="320" t="s">
        <v>217</v>
      </c>
      <c r="X160">
        <v>97</v>
      </c>
      <c r="Y160">
        <v>1275710189.3699999</v>
      </c>
      <c r="Z160" s="148"/>
      <c r="AA160" s="19"/>
      <c r="AB160" s="19"/>
    </row>
    <row r="161" spans="1:33" s="36" customFormat="1" ht="30" customHeight="1" x14ac:dyDescent="0.25">
      <c r="A161" s="34"/>
      <c r="B161" s="454" t="s">
        <v>117</v>
      </c>
      <c r="C161" s="377">
        <v>230</v>
      </c>
      <c r="D161" s="387">
        <v>2952473184.04</v>
      </c>
      <c r="E161" s="377"/>
      <c r="L161" s="43"/>
      <c r="P161" s="43"/>
      <c r="Q161" s="43"/>
      <c r="R161" s="43"/>
      <c r="S161" s="43"/>
      <c r="T161" s="43"/>
      <c r="U161" s="43"/>
      <c r="V161" s="166">
        <f>+C162/C163</f>
        <v>0</v>
      </c>
      <c r="W161" s="187" t="s">
        <v>161</v>
      </c>
      <c r="X161" s="286">
        <v>0</v>
      </c>
      <c r="Y161" s="189">
        <v>0</v>
      </c>
      <c r="Z161" s="148"/>
      <c r="AA161" s="19"/>
      <c r="AB161" s="19"/>
      <c r="AC161" s="19"/>
    </row>
    <row r="162" spans="1:33" s="36" customFormat="1" ht="30" customHeight="1" x14ac:dyDescent="0.25">
      <c r="A162" s="34"/>
      <c r="B162" s="454" t="s">
        <v>161</v>
      </c>
      <c r="C162" s="377">
        <f>+X161</f>
        <v>0</v>
      </c>
      <c r="D162" s="387">
        <f>Y161</f>
        <v>0</v>
      </c>
      <c r="E162" s="377"/>
      <c r="L162" s="43"/>
      <c r="P162" s="43"/>
      <c r="Q162" s="43"/>
      <c r="R162" s="43"/>
      <c r="S162" s="43"/>
      <c r="T162" s="43"/>
      <c r="U162" s="43"/>
      <c r="V162" s="188">
        <f>SUM(V158:V161)</f>
        <v>1</v>
      </c>
      <c r="W162" s="283" t="s">
        <v>6</v>
      </c>
      <c r="X162" s="284">
        <f>SUM(X158:X161)</f>
        <v>1654</v>
      </c>
      <c r="Y162" s="285">
        <f>SUM(Y158:Y161)</f>
        <v>18413568399.969978</v>
      </c>
      <c r="Z162" s="148"/>
      <c r="AA162" s="19"/>
      <c r="AB162" s="19"/>
      <c r="AC162" s="19"/>
    </row>
    <row r="163" spans="1:33" s="36" customFormat="1" ht="15" customHeight="1" x14ac:dyDescent="0.25">
      <c r="A163" s="34"/>
      <c r="B163" s="455" t="s">
        <v>6</v>
      </c>
      <c r="C163" s="456">
        <f>SUM(C159:C162)</f>
        <v>3469</v>
      </c>
      <c r="D163" s="431">
        <f>SUM(D159:D162)</f>
        <v>40841620172.839989</v>
      </c>
      <c r="E163" s="377"/>
      <c r="L163" s="43"/>
      <c r="P163" s="97"/>
      <c r="Q163" s="97"/>
      <c r="R163" s="97"/>
      <c r="S163" s="97"/>
      <c r="T163" s="97"/>
      <c r="U163" s="97"/>
      <c r="V163" s="189">
        <f>+D163-D303</f>
        <v>40841607489.08699</v>
      </c>
      <c r="W163" s="281"/>
      <c r="X163" s="282"/>
      <c r="Y163" s="277"/>
      <c r="Z163" s="148"/>
      <c r="AA163" s="19"/>
      <c r="AB163" s="19"/>
      <c r="AC163" s="19"/>
    </row>
    <row r="164" spans="1:33" ht="6.75" customHeight="1" x14ac:dyDescent="0.25">
      <c r="A164" s="15"/>
      <c r="C164" s="457"/>
      <c r="D164" s="457"/>
      <c r="E164" s="457"/>
      <c r="F164" s="48"/>
      <c r="G164" s="19"/>
      <c r="H164" s="19"/>
      <c r="J164" s="12"/>
      <c r="X164" s="183"/>
      <c r="Y164" s="184"/>
      <c r="Z164" s="163"/>
    </row>
    <row r="165" spans="1:33" ht="15" hidden="1" customHeight="1" x14ac:dyDescent="0.25">
      <c r="A165" s="15"/>
      <c r="B165" s="457"/>
      <c r="C165" s="457"/>
      <c r="D165" s="457"/>
      <c r="E165" s="457"/>
      <c r="F165" s="48"/>
      <c r="G165" s="19"/>
      <c r="H165" s="19"/>
      <c r="J165" s="12"/>
      <c r="W165" s="182"/>
      <c r="X165" s="183"/>
      <c r="Y165" s="184"/>
      <c r="Z165" s="163"/>
    </row>
    <row r="166" spans="1:33" s="272" customFormat="1" ht="25.5" customHeight="1" x14ac:dyDescent="0.3">
      <c r="A166" s="270"/>
      <c r="B166" s="689" t="s">
        <v>280</v>
      </c>
      <c r="C166" s="689"/>
      <c r="D166" s="689"/>
      <c r="E166" s="689"/>
      <c r="F166" s="271"/>
      <c r="G166" s="271"/>
      <c r="H166" s="271"/>
      <c r="I166" s="271"/>
      <c r="J166" s="271"/>
      <c r="M166" s="273"/>
      <c r="Q166" s="273"/>
      <c r="R166" s="273"/>
      <c r="S166" s="273"/>
      <c r="T166" s="273"/>
      <c r="U166" s="273"/>
      <c r="V166" s="273"/>
      <c r="W166" s="274"/>
      <c r="X166" s="268"/>
      <c r="Y166" s="268"/>
      <c r="Z166" s="268"/>
      <c r="AA166" s="268"/>
    </row>
    <row r="167" spans="1:33" s="12" customFormat="1" ht="54" customHeight="1" x14ac:dyDescent="0.25">
      <c r="A167" s="265"/>
      <c r="B167" s="646" t="s">
        <v>159</v>
      </c>
      <c r="C167" s="646"/>
      <c r="D167" s="646"/>
      <c r="E167" s="644"/>
      <c r="F167" s="162"/>
      <c r="G167" s="162"/>
      <c r="H167" s="162"/>
      <c r="I167" s="162"/>
      <c r="J167" s="162"/>
      <c r="K167" s="162"/>
      <c r="L167" s="162"/>
      <c r="M167" s="291"/>
      <c r="Q167" s="266"/>
      <c r="R167" s="266"/>
      <c r="S167" s="266"/>
      <c r="T167" s="266"/>
      <c r="U167" s="266"/>
      <c r="V167" s="266"/>
      <c r="W167" s="267"/>
      <c r="X167" s="269"/>
      <c r="Y167" s="269"/>
      <c r="Z167" s="276"/>
      <c r="AA167" s="269"/>
    </row>
    <row r="168" spans="1:33" ht="23.25" customHeight="1" x14ac:dyDescent="0.3">
      <c r="A168" s="15"/>
      <c r="B168" s="457"/>
      <c r="C168" s="457"/>
      <c r="D168" s="457"/>
      <c r="E168" s="457"/>
      <c r="F168" s="275"/>
      <c r="G168" s="48"/>
      <c r="H168" s="162"/>
      <c r="I168" s="162"/>
      <c r="J168" s="162"/>
      <c r="K168" s="162"/>
      <c r="L168" s="162"/>
      <c r="M168" s="291"/>
      <c r="W168" s="182"/>
      <c r="X168" s="157"/>
      <c r="Y168" s="157"/>
      <c r="Z168" s="190"/>
    </row>
    <row r="169" spans="1:33" ht="26.25" customHeight="1" x14ac:dyDescent="0.25">
      <c r="A169" s="26"/>
      <c r="B169" s="664" t="s">
        <v>186</v>
      </c>
      <c r="C169" s="664"/>
      <c r="D169" s="664"/>
      <c r="E169" s="664"/>
      <c r="J169" s="14"/>
      <c r="W169" s="182"/>
      <c r="X169" s="191"/>
      <c r="Y169" s="191"/>
      <c r="Z169" s="191"/>
    </row>
    <row r="170" spans="1:33" ht="15" customHeight="1" x14ac:dyDescent="0.25">
      <c r="A170" s="15"/>
      <c r="E170" s="451"/>
      <c r="J170" s="14"/>
      <c r="W170" s="182"/>
      <c r="X170" s="191"/>
      <c r="Y170" s="191"/>
      <c r="Z170" s="191"/>
    </row>
    <row r="171" spans="1:33" ht="32.25" customHeight="1" x14ac:dyDescent="0.25">
      <c r="A171" s="15"/>
      <c r="B171" s="287" t="s">
        <v>137</v>
      </c>
      <c r="C171" s="687" t="s">
        <v>118</v>
      </c>
      <c r="D171" s="688"/>
      <c r="E171" s="658" t="s">
        <v>119</v>
      </c>
      <c r="F171" s="659"/>
      <c r="G171" s="658" t="s">
        <v>117</v>
      </c>
      <c r="H171" s="659"/>
      <c r="I171" s="658" t="s">
        <v>121</v>
      </c>
      <c r="J171" s="659"/>
      <c r="K171" s="658" t="s">
        <v>6</v>
      </c>
      <c r="L171" s="659"/>
      <c r="M171" s="29"/>
      <c r="W171" s="192"/>
      <c r="X171" s="680"/>
      <c r="Y171" s="680"/>
      <c r="Z171" s="680"/>
      <c r="AA171" s="680"/>
      <c r="AB171" s="678"/>
      <c r="AC171" s="678"/>
      <c r="AD171" s="678"/>
      <c r="AE171" s="678"/>
      <c r="AF171" s="679"/>
      <c r="AG171" s="679"/>
    </row>
    <row r="172" spans="1:33" ht="15" customHeight="1" x14ac:dyDescent="0.25">
      <c r="A172" s="15"/>
      <c r="B172" s="458" t="s">
        <v>19</v>
      </c>
      <c r="C172" s="458" t="s">
        <v>58</v>
      </c>
      <c r="D172" s="459" t="s">
        <v>43</v>
      </c>
      <c r="E172" s="458" t="s">
        <v>58</v>
      </c>
      <c r="F172" s="289" t="s">
        <v>43</v>
      </c>
      <c r="G172" s="288" t="s">
        <v>58</v>
      </c>
      <c r="H172" s="289" t="s">
        <v>43</v>
      </c>
      <c r="I172" s="288" t="s">
        <v>58</v>
      </c>
      <c r="J172" s="289" t="s">
        <v>43</v>
      </c>
      <c r="K172" s="290" t="s">
        <v>58</v>
      </c>
      <c r="L172" s="292" t="s">
        <v>235</v>
      </c>
      <c r="M172" s="19"/>
      <c r="P172" s="22"/>
      <c r="V172" s="193"/>
      <c r="W172" s="193"/>
      <c r="X172" s="194"/>
      <c r="Y172" s="193"/>
      <c r="Z172" s="194"/>
      <c r="AA172" s="125"/>
      <c r="AB172" s="126"/>
      <c r="AC172" s="125"/>
      <c r="AD172" s="126"/>
      <c r="AE172" s="127"/>
      <c r="AF172" s="128"/>
    </row>
    <row r="173" spans="1:33" s="29" customFormat="1" ht="31.5" customHeight="1" x14ac:dyDescent="0.25">
      <c r="A173" s="41"/>
      <c r="B173" s="460" t="s">
        <v>138</v>
      </c>
      <c r="C173" s="461">
        <v>51</v>
      </c>
      <c r="D173" s="462">
        <v>541.06544897999993</v>
      </c>
      <c r="E173" s="463">
        <v>126</v>
      </c>
      <c r="F173" s="135">
        <v>1282.4023298199997</v>
      </c>
      <c r="G173" s="134">
        <v>48</v>
      </c>
      <c r="H173" s="135">
        <v>456.74173921000005</v>
      </c>
      <c r="I173" s="134">
        <v>0</v>
      </c>
      <c r="J173" s="136">
        <v>0</v>
      </c>
      <c r="K173" s="134">
        <v>225</v>
      </c>
      <c r="L173" s="135">
        <v>2280.2095180099996</v>
      </c>
      <c r="P173" s="67"/>
      <c r="Q173" s="67"/>
      <c r="R173" s="67"/>
      <c r="S173" s="67"/>
      <c r="T173" s="67"/>
      <c r="U173" s="67"/>
      <c r="V173" s="195"/>
      <c r="W173" s="196"/>
      <c r="X173" s="197"/>
      <c r="Y173" s="196"/>
      <c r="Z173" s="197"/>
      <c r="AA173" s="129"/>
      <c r="AB173" s="130"/>
      <c r="AC173" s="129"/>
      <c r="AD173" s="131"/>
      <c r="AE173" s="131"/>
      <c r="AF173" s="52"/>
      <c r="AG173" s="52"/>
    </row>
    <row r="174" spans="1:33" s="29" customFormat="1" ht="30" customHeight="1" x14ac:dyDescent="0.25">
      <c r="A174" s="41"/>
      <c r="B174" s="460" t="s">
        <v>139</v>
      </c>
      <c r="C174" s="461">
        <v>399</v>
      </c>
      <c r="D174" s="462">
        <v>6247.8242004199901</v>
      </c>
      <c r="E174" s="463">
        <v>260</v>
      </c>
      <c r="F174" s="135">
        <v>5118.2310195700047</v>
      </c>
      <c r="G174" s="134">
        <v>23</v>
      </c>
      <c r="H174" s="135">
        <v>501.51781401999995</v>
      </c>
      <c r="I174" s="134">
        <v>0</v>
      </c>
      <c r="J174" s="136">
        <v>0</v>
      </c>
      <c r="K174" s="134">
        <v>682</v>
      </c>
      <c r="L174" s="135">
        <v>11867.573034009994</v>
      </c>
      <c r="P174" s="67"/>
      <c r="Q174" s="67"/>
      <c r="R174" s="67"/>
      <c r="S174" s="67"/>
      <c r="T174" s="67"/>
      <c r="U174" s="67"/>
      <c r="V174" s="195"/>
      <c r="W174" s="196"/>
      <c r="X174" s="197"/>
      <c r="Y174" s="196"/>
      <c r="Z174" s="197"/>
      <c r="AA174" s="129"/>
      <c r="AB174" s="130"/>
      <c r="AC174" s="129"/>
      <c r="AD174" s="131"/>
      <c r="AE174" s="131"/>
      <c r="AF174" s="52"/>
      <c r="AG174" s="52"/>
    </row>
    <row r="175" spans="1:33" s="29" customFormat="1" ht="43.5" x14ac:dyDescent="0.25">
      <c r="A175" s="41"/>
      <c r="B175" s="460" t="s">
        <v>202</v>
      </c>
      <c r="C175" s="461">
        <v>0</v>
      </c>
      <c r="D175" s="462">
        <v>0</v>
      </c>
      <c r="E175" s="463">
        <v>0</v>
      </c>
      <c r="F175" s="135">
        <v>0</v>
      </c>
      <c r="G175" s="134">
        <v>0</v>
      </c>
      <c r="H175" s="135">
        <v>0</v>
      </c>
      <c r="I175" s="134">
        <v>0</v>
      </c>
      <c r="J175" s="136">
        <v>0</v>
      </c>
      <c r="K175" s="134">
        <v>0</v>
      </c>
      <c r="L175" s="135">
        <v>0</v>
      </c>
      <c r="N175" s="118"/>
      <c r="P175" s="67"/>
      <c r="Q175" s="67"/>
      <c r="R175" s="67"/>
      <c r="S175" s="67"/>
      <c r="T175" s="67"/>
      <c r="U175" s="67"/>
      <c r="V175" s="195"/>
      <c r="W175" s="196"/>
      <c r="X175" s="197"/>
      <c r="Y175" s="196"/>
      <c r="Z175" s="197"/>
      <c r="AA175" s="129"/>
      <c r="AB175" s="130"/>
      <c r="AC175" s="129"/>
      <c r="AD175" s="131"/>
      <c r="AE175" s="131"/>
      <c r="AF175" s="52"/>
      <c r="AG175" s="52"/>
    </row>
    <row r="176" spans="1:33" s="29" customFormat="1" x14ac:dyDescent="0.25">
      <c r="A176" s="41"/>
      <c r="B176" s="460" t="s">
        <v>140</v>
      </c>
      <c r="C176" s="461">
        <v>110</v>
      </c>
      <c r="D176" s="462">
        <v>1183.8338535500002</v>
      </c>
      <c r="E176" s="463">
        <v>73</v>
      </c>
      <c r="F176" s="135">
        <v>830.72773538000001</v>
      </c>
      <c r="G176" s="134">
        <v>5</v>
      </c>
      <c r="H176" s="135">
        <v>118.70238484000001</v>
      </c>
      <c r="I176" s="134">
        <v>0</v>
      </c>
      <c r="J176" s="136">
        <v>0</v>
      </c>
      <c r="K176" s="134">
        <v>188</v>
      </c>
      <c r="L176" s="135">
        <v>2133.2639737700001</v>
      </c>
      <c r="P176" s="67"/>
      <c r="Q176" s="67"/>
      <c r="R176" s="67"/>
      <c r="S176" s="67"/>
      <c r="T176" s="67"/>
      <c r="U176" s="67"/>
      <c r="V176" s="195"/>
      <c r="W176" s="196"/>
      <c r="X176" s="197"/>
      <c r="Y176" s="196"/>
      <c r="Z176" s="197"/>
      <c r="AA176" s="129"/>
      <c r="AB176" s="130"/>
      <c r="AC176" s="129"/>
      <c r="AD176" s="131"/>
      <c r="AE176" s="131"/>
      <c r="AF176" s="52"/>
      <c r="AG176" s="52"/>
    </row>
    <row r="177" spans="1:27" s="29" customFormat="1" ht="22.5" customHeight="1" x14ac:dyDescent="0.25">
      <c r="A177" s="41"/>
      <c r="B177" s="460" t="s">
        <v>141</v>
      </c>
      <c r="C177" s="461">
        <v>1259</v>
      </c>
      <c r="D177" s="462">
        <v>13148.977207139982</v>
      </c>
      <c r="E177" s="463">
        <v>883</v>
      </c>
      <c r="F177" s="135">
        <v>8676.8761939399992</v>
      </c>
      <c r="G177" s="134">
        <v>154</v>
      </c>
      <c r="H177" s="135">
        <v>1875.5112459699999</v>
      </c>
      <c r="I177" s="134">
        <v>0</v>
      </c>
      <c r="J177" s="136">
        <v>0</v>
      </c>
      <c r="K177" s="134">
        <v>2296</v>
      </c>
      <c r="L177" s="135">
        <v>23701.364647049981</v>
      </c>
      <c r="P177" s="67"/>
      <c r="Q177" s="67"/>
    </row>
    <row r="178" spans="1:27" s="29" customFormat="1" ht="29" x14ac:dyDescent="0.25">
      <c r="A178" s="41"/>
      <c r="B178" s="460" t="s">
        <v>142</v>
      </c>
      <c r="C178" s="461">
        <v>12</v>
      </c>
      <c r="D178" s="462">
        <v>125.60899999999999</v>
      </c>
      <c r="E178" s="463">
        <v>9</v>
      </c>
      <c r="F178" s="135">
        <v>90.834000000000003</v>
      </c>
      <c r="G178" s="134">
        <v>0</v>
      </c>
      <c r="H178" s="135">
        <v>0</v>
      </c>
      <c r="I178" s="134">
        <v>0</v>
      </c>
      <c r="J178" s="136">
        <v>0</v>
      </c>
      <c r="K178" s="134">
        <v>21</v>
      </c>
      <c r="L178" s="135">
        <v>216.44299999999998</v>
      </c>
      <c r="N178" s="118"/>
      <c r="P178" s="67"/>
      <c r="Q178" s="67"/>
    </row>
    <row r="179" spans="1:27" s="29" customFormat="1" ht="29" x14ac:dyDescent="0.25">
      <c r="A179" s="41"/>
      <c r="B179" s="460" t="s">
        <v>143</v>
      </c>
      <c r="C179" s="461">
        <v>37</v>
      </c>
      <c r="D179" s="462">
        <v>415.83499999999998</v>
      </c>
      <c r="E179" s="461">
        <v>20</v>
      </c>
      <c r="F179" s="135">
        <v>226.93100000000001</v>
      </c>
      <c r="G179" s="134">
        <v>0</v>
      </c>
      <c r="H179" s="133">
        <v>0</v>
      </c>
      <c r="I179" s="134">
        <v>0</v>
      </c>
      <c r="J179" s="136">
        <v>0</v>
      </c>
      <c r="K179" s="134">
        <v>57</v>
      </c>
      <c r="L179" s="135">
        <v>642.76599999999996</v>
      </c>
      <c r="N179" s="118"/>
      <c r="P179" s="67"/>
      <c r="Q179" s="67"/>
    </row>
    <row r="180" spans="1:27" s="29" customFormat="1" ht="29" x14ac:dyDescent="0.25">
      <c r="A180" s="41"/>
      <c r="B180" s="460" t="s">
        <v>219</v>
      </c>
      <c r="C180" s="464">
        <v>0</v>
      </c>
      <c r="D180" s="465">
        <v>0</v>
      </c>
      <c r="E180" s="464">
        <v>0</v>
      </c>
      <c r="F180" s="135">
        <v>0</v>
      </c>
      <c r="G180" s="134">
        <v>0</v>
      </c>
      <c r="H180" s="147">
        <v>0</v>
      </c>
      <c r="I180" s="134">
        <v>0</v>
      </c>
      <c r="J180" s="136">
        <v>0</v>
      </c>
      <c r="K180" s="134">
        <v>0</v>
      </c>
      <c r="L180" s="135">
        <v>0</v>
      </c>
      <c r="N180" s="118"/>
      <c r="P180" s="67"/>
      <c r="Q180" s="67"/>
    </row>
    <row r="181" spans="1:27" s="29" customFormat="1" ht="21" customHeight="1" x14ac:dyDescent="0.25">
      <c r="A181" s="41"/>
      <c r="B181" s="460" t="s">
        <v>203</v>
      </c>
      <c r="C181" s="463">
        <v>0</v>
      </c>
      <c r="D181" s="466">
        <v>0</v>
      </c>
      <c r="E181" s="463">
        <v>0</v>
      </c>
      <c r="F181" s="135">
        <v>0</v>
      </c>
      <c r="G181" s="134">
        <v>0</v>
      </c>
      <c r="H181" s="135">
        <v>0</v>
      </c>
      <c r="I181" s="134">
        <v>0</v>
      </c>
      <c r="J181" s="136">
        <v>0</v>
      </c>
      <c r="K181" s="134">
        <v>0</v>
      </c>
      <c r="L181" s="135">
        <v>0</v>
      </c>
      <c r="P181" s="67"/>
      <c r="Q181" s="67"/>
    </row>
    <row r="182" spans="1:27" s="29" customFormat="1" x14ac:dyDescent="0.25">
      <c r="A182" s="41"/>
      <c r="B182" s="467" t="s">
        <v>270</v>
      </c>
      <c r="C182" s="468">
        <v>1868</v>
      </c>
      <c r="D182" s="469">
        <v>21663.144710089971</v>
      </c>
      <c r="E182" s="468">
        <v>1371</v>
      </c>
      <c r="F182" s="113">
        <v>16226.002278710004</v>
      </c>
      <c r="G182" s="112">
        <v>230</v>
      </c>
      <c r="H182" s="113">
        <v>2952.47318404</v>
      </c>
      <c r="I182" s="112">
        <v>0</v>
      </c>
      <c r="J182" s="114">
        <v>0</v>
      </c>
      <c r="K182" s="143">
        <v>3469</v>
      </c>
      <c r="L182" s="114">
        <v>40841.620172839976</v>
      </c>
      <c r="P182" s="67"/>
      <c r="Q182" s="67"/>
    </row>
    <row r="183" spans="1:27" x14ac:dyDescent="0.25">
      <c r="A183" s="15"/>
      <c r="C183" s="394"/>
      <c r="D183" s="394"/>
      <c r="E183" s="448"/>
      <c r="I183" s="65"/>
      <c r="J183" s="63"/>
    </row>
    <row r="184" spans="1:27" ht="18" customHeight="1" x14ac:dyDescent="0.25">
      <c r="A184" s="15"/>
      <c r="B184" s="449"/>
      <c r="C184" s="369"/>
      <c r="D184" s="369"/>
      <c r="E184" s="448"/>
      <c r="F184" s="68"/>
      <c r="H184" s="111"/>
      <c r="I184" s="65"/>
      <c r="J184" s="63"/>
      <c r="L184" s="409"/>
    </row>
    <row r="185" spans="1:27" s="332" customFormat="1" ht="26.25" customHeight="1" x14ac:dyDescent="0.25">
      <c r="A185" s="604"/>
      <c r="B185" s="664" t="s">
        <v>204</v>
      </c>
      <c r="C185" s="664"/>
      <c r="D185" s="664"/>
      <c r="E185" s="664"/>
      <c r="F185" s="581" t="s">
        <v>284</v>
      </c>
      <c r="G185" s="581"/>
      <c r="H185" s="581"/>
      <c r="I185" s="122"/>
      <c r="J185" s="122"/>
      <c r="K185" s="348"/>
      <c r="L185" s="348"/>
      <c r="M185" s="605"/>
      <c r="Q185" s="605"/>
      <c r="R185" s="605"/>
      <c r="S185" s="605"/>
      <c r="T185" s="605"/>
      <c r="U185" s="605"/>
      <c r="V185" s="605"/>
      <c r="W185" s="155"/>
      <c r="X185" s="154"/>
      <c r="Y185" s="154"/>
      <c r="Z185" s="154"/>
      <c r="AA185" s="154"/>
    </row>
    <row r="186" spans="1:27" ht="10.5" customHeight="1" x14ac:dyDescent="0.25">
      <c r="A186" s="26"/>
      <c r="B186" s="384"/>
      <c r="C186" s="385"/>
      <c r="D186" s="385"/>
      <c r="G186" s="25"/>
      <c r="H186" s="27"/>
      <c r="J186" s="40"/>
      <c r="K186" s="68"/>
      <c r="L186" s="68"/>
    </row>
    <row r="187" spans="1:27" ht="26" x14ac:dyDescent="0.25">
      <c r="A187" s="15"/>
      <c r="B187" s="470" t="s">
        <v>28</v>
      </c>
      <c r="C187" s="471" t="s">
        <v>3</v>
      </c>
      <c r="D187" s="472" t="s">
        <v>96</v>
      </c>
      <c r="F187" s="146" t="s">
        <v>28</v>
      </c>
      <c r="G187" s="35" t="s">
        <v>177</v>
      </c>
      <c r="H187" s="145" t="s">
        <v>178</v>
      </c>
      <c r="I187" s="40"/>
      <c r="J187" s="115"/>
      <c r="K187" s="68"/>
      <c r="L187" s="22"/>
      <c r="M187" s="19"/>
      <c r="P187" s="22"/>
    </row>
    <row r="188" spans="1:27" x14ac:dyDescent="0.25">
      <c r="A188" s="15"/>
      <c r="B188" s="394" t="s">
        <v>59</v>
      </c>
      <c r="C188" s="377">
        <v>0</v>
      </c>
      <c r="D188" s="387">
        <v>0</v>
      </c>
      <c r="F188" s="37" t="s">
        <v>59</v>
      </c>
      <c r="G188" s="36">
        <v>20</v>
      </c>
      <c r="H188" s="36">
        <v>0</v>
      </c>
      <c r="I188" s="40"/>
      <c r="J188" s="68"/>
      <c r="L188" s="22"/>
      <c r="M188" s="19"/>
      <c r="P188" s="22"/>
    </row>
    <row r="189" spans="1:27" x14ac:dyDescent="0.25">
      <c r="A189" s="15"/>
      <c r="B189" s="394" t="s">
        <v>32</v>
      </c>
      <c r="C189" s="377">
        <v>0</v>
      </c>
      <c r="D189" s="387">
        <v>0</v>
      </c>
      <c r="F189" s="37" t="s">
        <v>32</v>
      </c>
      <c r="G189" s="36">
        <v>18</v>
      </c>
      <c r="H189" s="36">
        <v>0</v>
      </c>
      <c r="I189" s="40"/>
      <c r="L189" s="22"/>
      <c r="M189" s="19"/>
      <c r="P189" s="22"/>
    </row>
    <row r="190" spans="1:27" x14ac:dyDescent="0.25">
      <c r="A190" s="15"/>
      <c r="B190" s="394" t="s">
        <v>33</v>
      </c>
      <c r="C190" s="377">
        <v>0</v>
      </c>
      <c r="D190" s="387">
        <v>0</v>
      </c>
      <c r="F190" s="37" t="s">
        <v>33</v>
      </c>
      <c r="G190" s="36">
        <v>30</v>
      </c>
      <c r="H190" s="36">
        <v>0</v>
      </c>
      <c r="I190" s="40"/>
      <c r="L190" s="22"/>
      <c r="M190" s="19"/>
      <c r="P190" s="22"/>
    </row>
    <row r="191" spans="1:27" x14ac:dyDescent="0.25">
      <c r="A191" s="15"/>
      <c r="B191" s="394" t="s">
        <v>34</v>
      </c>
      <c r="C191" s="377">
        <v>0</v>
      </c>
      <c r="D191" s="387">
        <v>0</v>
      </c>
      <c r="F191" s="37" t="s">
        <v>34</v>
      </c>
      <c r="G191" s="36">
        <v>10</v>
      </c>
      <c r="H191" s="36">
        <v>0</v>
      </c>
      <c r="I191" s="40"/>
      <c r="L191" s="22"/>
      <c r="M191" s="19"/>
      <c r="P191" s="22"/>
    </row>
    <row r="192" spans="1:27" hidden="1" x14ac:dyDescent="0.25">
      <c r="A192" s="15"/>
      <c r="B192" s="394" t="s">
        <v>35</v>
      </c>
      <c r="C192" s="377">
        <v>0</v>
      </c>
      <c r="D192" s="387">
        <v>0</v>
      </c>
      <c r="F192" s="37" t="s">
        <v>35</v>
      </c>
      <c r="G192" s="36">
        <v>0</v>
      </c>
      <c r="H192" s="36">
        <v>0</v>
      </c>
      <c r="I192" s="40"/>
      <c r="L192" s="22"/>
      <c r="M192" s="19"/>
      <c r="P192" s="22"/>
    </row>
    <row r="193" spans="1:40" hidden="1" x14ac:dyDescent="0.25">
      <c r="A193" s="15"/>
      <c r="B193" s="394" t="s">
        <v>31</v>
      </c>
      <c r="C193" s="377">
        <v>0</v>
      </c>
      <c r="D193" s="387">
        <v>0</v>
      </c>
      <c r="F193" s="37" t="s">
        <v>31</v>
      </c>
      <c r="G193" s="36">
        <v>0</v>
      </c>
      <c r="H193" s="36">
        <v>0</v>
      </c>
      <c r="I193" s="40"/>
      <c r="L193" s="22"/>
      <c r="M193" s="19"/>
      <c r="P193" s="22"/>
      <c r="V193" s="163"/>
      <c r="W193" s="151"/>
      <c r="AA193" s="19"/>
      <c r="AB193" s="16"/>
    </row>
    <row r="194" spans="1:40" hidden="1" x14ac:dyDescent="0.25">
      <c r="A194" s="15"/>
      <c r="B194" s="394" t="s">
        <v>36</v>
      </c>
      <c r="C194" s="377">
        <v>0</v>
      </c>
      <c r="D194" s="387">
        <v>0</v>
      </c>
      <c r="F194" s="37" t="s">
        <v>36</v>
      </c>
      <c r="G194" s="36">
        <v>0</v>
      </c>
      <c r="H194" s="36">
        <v>0</v>
      </c>
      <c r="I194" s="40"/>
      <c r="L194" s="22"/>
      <c r="M194" s="19"/>
      <c r="P194" s="22"/>
      <c r="V194" s="163"/>
      <c r="W194" s="151"/>
      <c r="AA194" s="19"/>
      <c r="AB194" s="16"/>
    </row>
    <row r="195" spans="1:40" hidden="1" x14ac:dyDescent="0.35">
      <c r="A195" s="15"/>
      <c r="B195" s="394" t="s">
        <v>37</v>
      </c>
      <c r="C195" s="377">
        <v>0</v>
      </c>
      <c r="D195" s="387">
        <v>0</v>
      </c>
      <c r="F195" s="37" t="s">
        <v>37</v>
      </c>
      <c r="G195" s="36">
        <v>0</v>
      </c>
      <c r="H195" s="36">
        <v>0</v>
      </c>
      <c r="I195" s="40"/>
      <c r="L195" s="22"/>
      <c r="M195" s="19"/>
      <c r="P195" s="22"/>
      <c r="V195" s="163"/>
      <c r="W195" s="351"/>
      <c r="X195" s="351"/>
      <c r="Y195" s="351"/>
      <c r="AA195" s="19"/>
      <c r="AB195" s="16"/>
    </row>
    <row r="196" spans="1:40" hidden="1" x14ac:dyDescent="0.35">
      <c r="A196" s="15"/>
      <c r="B196" s="394" t="s">
        <v>41</v>
      </c>
      <c r="C196" s="473">
        <v>0</v>
      </c>
      <c r="D196" s="454">
        <v>0</v>
      </c>
      <c r="F196" s="37" t="s">
        <v>41</v>
      </c>
      <c r="G196" s="36">
        <v>0</v>
      </c>
      <c r="H196" s="36">
        <v>0</v>
      </c>
      <c r="I196" s="40"/>
      <c r="L196" s="22"/>
      <c r="M196" s="19"/>
      <c r="P196" s="22"/>
      <c r="V196" s="163"/>
      <c r="W196" s="352"/>
      <c r="X196" s="353"/>
      <c r="Y196" s="353"/>
      <c r="AA196" s="19"/>
      <c r="AB196" s="16"/>
    </row>
    <row r="197" spans="1:40" hidden="1" x14ac:dyDescent="0.25">
      <c r="A197" s="15"/>
      <c r="B197" s="394" t="s">
        <v>39</v>
      </c>
      <c r="C197" s="473">
        <v>0</v>
      </c>
      <c r="D197" s="454">
        <v>0</v>
      </c>
      <c r="F197" s="37" t="s">
        <v>39</v>
      </c>
      <c r="G197" s="36">
        <v>0</v>
      </c>
      <c r="H197" s="36">
        <v>0</v>
      </c>
      <c r="I197" s="40"/>
      <c r="J197" s="117"/>
      <c r="L197" s="22"/>
      <c r="M197" s="19"/>
      <c r="P197" s="22"/>
      <c r="V197" s="163"/>
      <c r="W197" s="151"/>
      <c r="AA197" s="19"/>
      <c r="AB197" s="16"/>
    </row>
    <row r="198" spans="1:40" hidden="1" x14ac:dyDescent="0.35">
      <c r="A198" s="15"/>
      <c r="B198" s="394" t="s">
        <v>40</v>
      </c>
      <c r="C198" s="473">
        <v>0</v>
      </c>
      <c r="D198" s="454">
        <v>0</v>
      </c>
      <c r="F198" s="37" t="s">
        <v>40</v>
      </c>
      <c r="G198" s="36">
        <v>0</v>
      </c>
      <c r="H198" s="36">
        <v>0</v>
      </c>
      <c r="I198" s="40"/>
      <c r="L198" s="22"/>
      <c r="M198" s="19"/>
      <c r="P198" s="22"/>
      <c r="V198" s="163"/>
      <c r="W198" s="352"/>
      <c r="X198" s="353"/>
      <c r="Y198" s="353"/>
      <c r="AA198" s="19"/>
      <c r="AB198" s="16"/>
    </row>
    <row r="199" spans="1:40" hidden="1" x14ac:dyDescent="0.35">
      <c r="A199" s="15"/>
      <c r="B199" s="394" t="s">
        <v>60</v>
      </c>
      <c r="C199" s="473">
        <v>0</v>
      </c>
      <c r="D199" s="454">
        <v>0</v>
      </c>
      <c r="F199" s="37" t="s">
        <v>60</v>
      </c>
      <c r="G199" s="36">
        <v>0</v>
      </c>
      <c r="H199" s="36">
        <v>0</v>
      </c>
      <c r="I199" s="40"/>
      <c r="L199" s="23"/>
      <c r="M199" s="19"/>
      <c r="P199" s="22"/>
      <c r="V199" s="163"/>
      <c r="W199" s="352"/>
      <c r="X199" s="353"/>
      <c r="Y199" s="353"/>
      <c r="AA199" s="19"/>
      <c r="AB199" s="16"/>
    </row>
    <row r="200" spans="1:40" x14ac:dyDescent="0.25">
      <c r="A200" s="15"/>
      <c r="B200" s="470" t="s">
        <v>29</v>
      </c>
      <c r="C200" s="366">
        <f>SUM(C188:C199)</f>
        <v>0</v>
      </c>
      <c r="D200" s="474">
        <f>SUM(D188:D199)</f>
        <v>0</v>
      </c>
      <c r="F200" s="146" t="s">
        <v>29</v>
      </c>
      <c r="G200" s="35">
        <f>SUM(G188:G199)</f>
        <v>78</v>
      </c>
      <c r="H200" s="35">
        <f>SUM(H188:H199)</f>
        <v>0</v>
      </c>
      <c r="I200" s="40"/>
      <c r="J200" s="68"/>
      <c r="K200" s="117"/>
      <c r="L200" s="22"/>
      <c r="M200" s="19"/>
      <c r="P200" s="22"/>
      <c r="V200" s="163"/>
      <c r="W200" s="151"/>
      <c r="AA200" s="19"/>
      <c r="AB200" s="16"/>
    </row>
    <row r="201" spans="1:40" ht="18" customHeight="1" x14ac:dyDescent="0.25">
      <c r="A201" s="15"/>
      <c r="H201" s="40"/>
      <c r="I201" s="40"/>
      <c r="J201" s="40"/>
      <c r="AC201" s="16"/>
    </row>
    <row r="202" spans="1:40" ht="18" customHeight="1" x14ac:dyDescent="0.25">
      <c r="A202" s="15"/>
      <c r="H202" s="40"/>
      <c r="I202" s="40"/>
      <c r="J202" s="40"/>
      <c r="AC202" s="16"/>
    </row>
    <row r="203" spans="1:40" ht="18" customHeight="1" x14ac:dyDescent="0.25">
      <c r="A203" s="15"/>
      <c r="B203" s="449"/>
      <c r="C203" s="394"/>
      <c r="D203" s="394"/>
      <c r="E203" s="448"/>
      <c r="H203" s="40"/>
      <c r="I203" s="40"/>
      <c r="J203" s="40"/>
      <c r="AC203" s="16"/>
    </row>
    <row r="204" spans="1:40" ht="18" customHeight="1" x14ac:dyDescent="0.25">
      <c r="A204" s="15"/>
      <c r="B204" s="449"/>
      <c r="C204" s="394"/>
      <c r="D204" s="394"/>
      <c r="E204" s="448"/>
      <c r="H204" s="40"/>
      <c r="I204" s="40"/>
      <c r="J204" s="40"/>
      <c r="AC204" s="16"/>
    </row>
    <row r="205" spans="1:40" s="332" customFormat="1" ht="27.75" customHeight="1" x14ac:dyDescent="0.25">
      <c r="A205" s="604"/>
      <c r="B205" s="664" t="s">
        <v>238</v>
      </c>
      <c r="C205" s="664"/>
      <c r="D205" s="664"/>
      <c r="E205" s="664"/>
      <c r="G205" s="606"/>
      <c r="H205" s="606"/>
      <c r="I205" s="606"/>
      <c r="J205" s="606"/>
      <c r="L205" s="607"/>
      <c r="M205" s="605"/>
      <c r="Q205" s="608"/>
      <c r="R205" s="608"/>
      <c r="S205" s="608"/>
      <c r="T205" s="608"/>
      <c r="U205" s="608"/>
      <c r="V205" s="608"/>
      <c r="W205" s="155"/>
      <c r="X205" s="154"/>
      <c r="Y205" s="609"/>
      <c r="Z205" s="610"/>
      <c r="AA205" s="611"/>
      <c r="AB205" s="341"/>
      <c r="AC205" s="612"/>
      <c r="AD205" s="341"/>
      <c r="AE205" s="612"/>
      <c r="AF205" s="612"/>
    </row>
    <row r="206" spans="1:40" ht="18" customHeight="1" x14ac:dyDescent="0.25">
      <c r="A206" s="26"/>
      <c r="B206" s="384"/>
      <c r="C206" s="377"/>
      <c r="D206" s="377"/>
      <c r="E206" s="475"/>
      <c r="J206" s="18"/>
      <c r="X206" s="198"/>
    </row>
    <row r="207" spans="1:40" ht="15" customHeight="1" x14ac:dyDescent="0.25">
      <c r="A207" s="15"/>
      <c r="B207" s="475"/>
      <c r="C207" s="668" t="s">
        <v>148</v>
      </c>
      <c r="D207" s="669"/>
      <c r="E207" s="683" t="s">
        <v>148</v>
      </c>
      <c r="F207" s="684"/>
      <c r="G207" s="672"/>
      <c r="H207" s="673"/>
      <c r="K207" s="683" t="s">
        <v>145</v>
      </c>
      <c r="L207" s="684"/>
      <c r="M207" s="683" t="s">
        <v>145</v>
      </c>
      <c r="N207" s="684"/>
      <c r="P207" s="22"/>
      <c r="Q207" s="19"/>
      <c r="X207" s="199"/>
    </row>
    <row r="208" spans="1:40" x14ac:dyDescent="0.25">
      <c r="A208" s="15"/>
      <c r="B208" s="476"/>
      <c r="C208" s="666" t="s">
        <v>433</v>
      </c>
      <c r="D208" s="667"/>
      <c r="E208" s="681" t="s">
        <v>434</v>
      </c>
      <c r="F208" s="682"/>
      <c r="G208" s="670" t="s">
        <v>244</v>
      </c>
      <c r="H208" s="671"/>
      <c r="I208" s="68"/>
      <c r="K208" s="666" t="s">
        <v>433</v>
      </c>
      <c r="L208" s="667"/>
      <c r="M208" s="681" t="s">
        <v>434</v>
      </c>
      <c r="N208" s="682"/>
      <c r="O208" s="685" t="s">
        <v>244</v>
      </c>
      <c r="P208" s="686"/>
      <c r="X208" s="154"/>
      <c r="Y208" s="331"/>
      <c r="Z208" s="331"/>
      <c r="AA208" s="331"/>
      <c r="AB208" s="332"/>
      <c r="AC208" s="333"/>
      <c r="AD208" s="333"/>
      <c r="AE208" s="333"/>
      <c r="AG208" s="151"/>
      <c r="AH208" s="676" t="s">
        <v>148</v>
      </c>
      <c r="AI208" s="676"/>
      <c r="AJ208" s="676"/>
      <c r="AL208" s="676" t="s">
        <v>145</v>
      </c>
      <c r="AM208" s="676"/>
      <c r="AN208" s="676"/>
    </row>
    <row r="209" spans="1:40" ht="15" customHeight="1" x14ac:dyDescent="0.25">
      <c r="A209" s="15"/>
      <c r="B209" s="477" t="s">
        <v>144</v>
      </c>
      <c r="C209" s="478" t="s">
        <v>58</v>
      </c>
      <c r="D209" s="479" t="s">
        <v>146</v>
      </c>
      <c r="E209" s="479" t="s">
        <v>58</v>
      </c>
      <c r="F209" s="33" t="s">
        <v>146</v>
      </c>
      <c r="G209" s="321" t="s">
        <v>320</v>
      </c>
      <c r="H209" s="150" t="s">
        <v>321</v>
      </c>
      <c r="I209" s="68"/>
      <c r="J209" s="84" t="s">
        <v>144</v>
      </c>
      <c r="K209" s="150" t="s">
        <v>58</v>
      </c>
      <c r="L209" s="150" t="s">
        <v>146</v>
      </c>
      <c r="M209" s="150" t="s">
        <v>58</v>
      </c>
      <c r="N209" s="150" t="s">
        <v>146</v>
      </c>
      <c r="O209" s="321" t="s">
        <v>320</v>
      </c>
      <c r="P209" s="150" t="s">
        <v>321</v>
      </c>
      <c r="V209" s="163"/>
      <c r="W209" s="334"/>
      <c r="X209" s="335"/>
      <c r="Y209" s="335"/>
      <c r="Z209" s="335"/>
      <c r="AA209" s="332"/>
      <c r="AB209" s="336"/>
      <c r="AC209" s="336"/>
      <c r="AD209" s="336"/>
      <c r="AF209" s="200" t="s">
        <v>223</v>
      </c>
      <c r="AG209" s="303" t="s">
        <v>58</v>
      </c>
      <c r="AH209" s="201" t="s">
        <v>43</v>
      </c>
      <c r="AI209" s="201" t="s">
        <v>146</v>
      </c>
      <c r="AK209" s="303" t="s">
        <v>58</v>
      </c>
      <c r="AL209" s="201" t="s">
        <v>43</v>
      </c>
      <c r="AM209" s="201" t="s">
        <v>146</v>
      </c>
    </row>
    <row r="210" spans="1:40" ht="15" customHeight="1" x14ac:dyDescent="0.25">
      <c r="A210" s="15"/>
      <c r="B210" s="480" t="s">
        <v>130</v>
      </c>
      <c r="C210" s="543">
        <v>1387</v>
      </c>
      <c r="D210" s="144">
        <v>9.144739005046862</v>
      </c>
      <c r="E210" s="554">
        <v>1160</v>
      </c>
      <c r="F210" s="144">
        <v>9.1451844827586211</v>
      </c>
      <c r="G210" s="66">
        <f>C210-E210</f>
        <v>227</v>
      </c>
      <c r="H210" s="364">
        <f>D210-F210</f>
        <v>-4.4547771175906803E-4</v>
      </c>
      <c r="I210" s="68"/>
      <c r="J210" s="85" t="s">
        <v>130</v>
      </c>
      <c r="K210" s="543">
        <v>2767</v>
      </c>
      <c r="L210" s="144">
        <v>9.2497911095048799</v>
      </c>
      <c r="M210" s="543">
        <v>2005</v>
      </c>
      <c r="N210" s="144">
        <v>8.4367680798004994</v>
      </c>
      <c r="O210" s="66">
        <f>K210-M210</f>
        <v>762</v>
      </c>
      <c r="P210" s="144">
        <f>L210-N210</f>
        <v>0.81302302970438056</v>
      </c>
      <c r="V210" s="163"/>
      <c r="W210" s="337"/>
      <c r="X210" s="338"/>
      <c r="Y210" s="339"/>
      <c r="Z210" s="339"/>
      <c r="AA210" s="332"/>
      <c r="AB210" s="340"/>
      <c r="AC210" s="341"/>
      <c r="AD210" s="341"/>
      <c r="AF210" s="304" t="s">
        <v>130</v>
      </c>
      <c r="AG210" s="203">
        <v>3200</v>
      </c>
      <c r="AH210" s="185">
        <v>21514.3410817</v>
      </c>
      <c r="AI210" s="185">
        <f>+AH210/AG210</f>
        <v>6.7232315880312505</v>
      </c>
      <c r="AK210" s="203">
        <v>2970</v>
      </c>
      <c r="AL210" s="185">
        <v>19460.86</v>
      </c>
      <c r="AM210" s="185">
        <f>+AL210/AK210</f>
        <v>6.5524781144781148</v>
      </c>
    </row>
    <row r="211" spans="1:40" ht="15" customHeight="1" x14ac:dyDescent="0.25">
      <c r="A211" s="15"/>
      <c r="B211" s="480" t="s">
        <v>147</v>
      </c>
      <c r="C211" s="543">
        <v>766</v>
      </c>
      <c r="D211" s="144">
        <v>22.60133234343342</v>
      </c>
      <c r="E211" s="554">
        <v>448</v>
      </c>
      <c r="F211" s="144">
        <v>19.621228780959822</v>
      </c>
      <c r="G211" s="66">
        <f>C211-E211</f>
        <v>318</v>
      </c>
      <c r="H211" s="364">
        <f>D211-F211</f>
        <v>2.9801035624735981</v>
      </c>
      <c r="I211" s="68"/>
      <c r="J211" s="85" t="s">
        <v>147</v>
      </c>
      <c r="K211" s="543">
        <v>702</v>
      </c>
      <c r="L211" s="144">
        <v>21.720011642222222</v>
      </c>
      <c r="M211" s="543">
        <v>649</v>
      </c>
      <c r="N211" s="144">
        <v>22.284850103682587</v>
      </c>
      <c r="O211" s="358">
        <f>K211-M211</f>
        <v>53</v>
      </c>
      <c r="P211" s="144">
        <f>L211-N211</f>
        <v>-0.56483846146036498</v>
      </c>
      <c r="V211" s="163"/>
      <c r="W211" s="337"/>
      <c r="X211" s="338"/>
      <c r="Y211" s="339"/>
      <c r="Z211" s="339"/>
      <c r="AA211" s="332"/>
      <c r="AB211" s="340"/>
      <c r="AC211" s="341"/>
      <c r="AD211" s="341"/>
      <c r="AF211" s="202" t="s">
        <v>147</v>
      </c>
      <c r="AG211" s="203">
        <v>613</v>
      </c>
      <c r="AH211" s="185">
        <v>11387.261850180001</v>
      </c>
      <c r="AI211" s="185">
        <f>+AH211/AG211</f>
        <v>18.576283605513868</v>
      </c>
      <c r="AK211" s="203">
        <v>698</v>
      </c>
      <c r="AL211" s="185">
        <v>14183.69741406</v>
      </c>
      <c r="AM211" s="185">
        <f>+AL211/AK211</f>
        <v>20.320483401232092</v>
      </c>
    </row>
    <row r="212" spans="1:40" ht="15" customHeight="1" x14ac:dyDescent="0.25">
      <c r="A212" s="15"/>
      <c r="B212" s="481" t="s">
        <v>6</v>
      </c>
      <c r="C212" s="124">
        <f>SUM(C210:C211)</f>
        <v>2153</v>
      </c>
      <c r="D212" s="482"/>
      <c r="E212" s="555">
        <f>SUM(E210:E211)</f>
        <v>1608</v>
      </c>
      <c r="F212" s="12"/>
      <c r="G212" s="3"/>
      <c r="J212" s="38" t="s">
        <v>6</v>
      </c>
      <c r="K212" s="124">
        <f>SUM(K210:K211)</f>
        <v>3469</v>
      </c>
      <c r="L212" s="22"/>
      <c r="M212" s="124">
        <f>SUM(M210:M211)</f>
        <v>2654</v>
      </c>
      <c r="O212" s="408"/>
      <c r="P212" s="22"/>
      <c r="Q212" s="19"/>
      <c r="X212" s="342"/>
      <c r="Y212" s="343"/>
      <c r="Z212" s="344"/>
      <c r="AA212" s="154"/>
      <c r="AB212" s="332"/>
      <c r="AC212" s="345"/>
      <c r="AD212" s="346"/>
      <c r="AE212" s="332"/>
      <c r="AG212" s="204" t="s">
        <v>6</v>
      </c>
      <c r="AH212" s="205">
        <f>SUM(AG210:AG211)</f>
        <v>3813</v>
      </c>
      <c r="AI212" s="206"/>
      <c r="AJ212" s="151"/>
      <c r="AL212" s="205">
        <f>SUM(AK210:AK211)</f>
        <v>3668</v>
      </c>
      <c r="AM212" s="206"/>
      <c r="AN212" s="151"/>
    </row>
    <row r="213" spans="1:40" x14ac:dyDescent="0.25">
      <c r="A213" s="15"/>
      <c r="B213" s="483"/>
      <c r="C213" s="482"/>
      <c r="D213" s="482"/>
      <c r="E213" s="448"/>
      <c r="F213" s="138"/>
      <c r="G213" s="542"/>
      <c r="I213" s="138"/>
      <c r="J213" s="10"/>
      <c r="K213" s="138"/>
      <c r="L213" s="139"/>
      <c r="X213" s="154"/>
      <c r="Y213" s="154"/>
      <c r="Z213" s="154"/>
      <c r="AA213" s="154"/>
      <c r="AB213" s="332"/>
      <c r="AC213" s="347"/>
      <c r="AD213" s="348"/>
      <c r="AE213" s="332"/>
    </row>
    <row r="214" spans="1:40" ht="18" customHeight="1" x14ac:dyDescent="0.25">
      <c r="A214" s="15"/>
      <c r="B214" s="449"/>
      <c r="C214" s="394"/>
      <c r="D214" s="534"/>
      <c r="E214" s="484"/>
      <c r="I214" s="322"/>
      <c r="J214" s="63"/>
      <c r="K214" s="21"/>
      <c r="L214" s="21"/>
      <c r="N214" s="21"/>
      <c r="O214" s="21"/>
      <c r="P214" s="322"/>
      <c r="X214" s="154"/>
      <c r="Y214" s="154"/>
      <c r="Z214" s="154"/>
      <c r="AA214" s="154"/>
      <c r="AB214" s="332"/>
      <c r="AC214" s="347"/>
      <c r="AD214" s="348"/>
      <c r="AE214" s="332"/>
    </row>
    <row r="215" spans="1:40" ht="27.75" customHeight="1" x14ac:dyDescent="0.25">
      <c r="A215" s="26"/>
      <c r="B215" s="664" t="s">
        <v>164</v>
      </c>
      <c r="C215" s="664"/>
      <c r="D215" s="664"/>
      <c r="E215" s="664"/>
      <c r="H215" s="12"/>
      <c r="I215" s="12"/>
      <c r="J215" s="12"/>
      <c r="L215" s="65"/>
      <c r="Q215" s="3"/>
      <c r="R215" s="3"/>
      <c r="S215" s="3"/>
      <c r="T215" s="3"/>
      <c r="U215" s="3"/>
      <c r="V215" s="3"/>
      <c r="Y215" s="207"/>
      <c r="Z215" s="208"/>
      <c r="AA215" s="184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3"/>
      <c r="Y216" s="207"/>
      <c r="Z216" s="208"/>
      <c r="AA216" s="184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70" t="s">
        <v>28</v>
      </c>
      <c r="C217" s="478" t="s">
        <v>3</v>
      </c>
      <c r="D217" s="485" t="s">
        <v>96</v>
      </c>
      <c r="F217" s="12"/>
      <c r="H217" s="12"/>
      <c r="I217" s="12"/>
      <c r="L217" s="22"/>
      <c r="M217" s="19"/>
      <c r="P217" s="22"/>
      <c r="V217" s="163"/>
      <c r="W217" s="151"/>
      <c r="X217" s="207"/>
      <c r="AA217" s="18"/>
      <c r="AB217" s="16"/>
      <c r="AC217" s="68"/>
    </row>
    <row r="218" spans="1:40" x14ac:dyDescent="0.3">
      <c r="A218" s="15"/>
      <c r="B218" s="394" t="s">
        <v>59</v>
      </c>
      <c r="C218" s="473">
        <v>845</v>
      </c>
      <c r="D218" s="387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3"/>
      <c r="W218" s="151"/>
      <c r="X218" s="184"/>
      <c r="Y218" s="183"/>
      <c r="Z218" s="211"/>
      <c r="AA218" s="21"/>
      <c r="AB218" s="21"/>
      <c r="AC218" s="21"/>
      <c r="AD218" s="21"/>
      <c r="AE218" s="86"/>
    </row>
    <row r="219" spans="1:40" x14ac:dyDescent="0.3">
      <c r="A219" s="15"/>
      <c r="B219" s="394" t="s">
        <v>32</v>
      </c>
      <c r="C219" s="473">
        <v>809</v>
      </c>
      <c r="D219" s="387">
        <v>9165.7979012199994</v>
      </c>
      <c r="F219" s="12"/>
      <c r="H219" s="12"/>
      <c r="I219" s="12"/>
      <c r="L219" s="22"/>
      <c r="M219" s="19"/>
      <c r="P219" s="3"/>
      <c r="Q219" s="3"/>
      <c r="R219" s="3"/>
      <c r="S219" s="3"/>
      <c r="T219" s="3"/>
      <c r="U219" s="3"/>
      <c r="V219" s="212"/>
      <c r="W219" s="151"/>
      <c r="X219" s="184">
        <v>1421</v>
      </c>
      <c r="Y219" s="183">
        <v>12252.63411767688</v>
      </c>
      <c r="Z219" s="211"/>
      <c r="AA219" s="21"/>
      <c r="AB219" s="21"/>
      <c r="AC219" s="21"/>
      <c r="AD219" s="21"/>
      <c r="AE219" s="87"/>
      <c r="AH219" s="677"/>
      <c r="AI219" s="677"/>
    </row>
    <row r="220" spans="1:40" x14ac:dyDescent="0.3">
      <c r="A220" s="15"/>
      <c r="B220" s="394" t="s">
        <v>33</v>
      </c>
      <c r="C220" s="473">
        <v>858</v>
      </c>
      <c r="D220" s="387">
        <v>8988.9563298699995</v>
      </c>
      <c r="F220" s="12"/>
      <c r="H220" s="12"/>
      <c r="I220" s="12"/>
      <c r="L220" s="578"/>
      <c r="M220" s="19"/>
      <c r="O220" s="3"/>
      <c r="P220" s="21"/>
      <c r="Q220" s="21"/>
      <c r="R220" s="21"/>
      <c r="S220" s="21"/>
      <c r="T220" s="21"/>
      <c r="U220" s="21"/>
      <c r="V220" s="213"/>
      <c r="W220" s="151"/>
      <c r="X220" s="184">
        <v>1041</v>
      </c>
      <c r="Y220" s="183">
        <v>8292.7401420099995</v>
      </c>
      <c r="Z220" s="184"/>
      <c r="AA220" s="18"/>
      <c r="AB220" s="21"/>
      <c r="AC220" s="21"/>
      <c r="AD220" s="21"/>
      <c r="AE220" s="137"/>
      <c r="AH220" s="69"/>
      <c r="AI220" s="69"/>
    </row>
    <row r="221" spans="1:40" x14ac:dyDescent="0.3">
      <c r="A221" s="15"/>
      <c r="B221" s="394" t="s">
        <v>34</v>
      </c>
      <c r="C221" s="473">
        <v>957</v>
      </c>
      <c r="D221" s="387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3"/>
      <c r="W221" s="151"/>
      <c r="X221" s="184">
        <v>770</v>
      </c>
      <c r="Y221" s="183">
        <v>6038.1425611800005</v>
      </c>
      <c r="Z221" s="211"/>
      <c r="AA221" s="21"/>
      <c r="AB221" s="21"/>
      <c r="AC221" s="21"/>
      <c r="AD221" s="21"/>
      <c r="AE221" s="86"/>
    </row>
    <row r="222" spans="1:40" hidden="1" x14ac:dyDescent="0.3">
      <c r="A222" s="15"/>
      <c r="B222" s="394" t="s">
        <v>35</v>
      </c>
      <c r="C222" s="473">
        <v>0</v>
      </c>
      <c r="D222" s="387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2"/>
      <c r="W222" s="151"/>
      <c r="X222" s="184">
        <v>1043</v>
      </c>
      <c r="Y222" s="183">
        <v>10247.784376600001</v>
      </c>
      <c r="Z222" s="211"/>
      <c r="AA222" s="21"/>
      <c r="AB222" s="21"/>
      <c r="AC222" s="21"/>
      <c r="AD222" s="21"/>
      <c r="AE222" s="87"/>
      <c r="AH222" s="677"/>
      <c r="AI222" s="677"/>
    </row>
    <row r="223" spans="1:40" hidden="1" x14ac:dyDescent="0.3">
      <c r="A223" s="15"/>
      <c r="B223" s="394" t="s">
        <v>31</v>
      </c>
      <c r="C223" s="473">
        <v>0</v>
      </c>
      <c r="D223" s="387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3"/>
      <c r="W223" s="151"/>
      <c r="X223" s="184">
        <v>1349</v>
      </c>
      <c r="Y223" s="183">
        <v>13272.00041705</v>
      </c>
      <c r="Z223" s="184"/>
      <c r="AA223" s="18"/>
      <c r="AB223" s="21"/>
      <c r="AC223" s="21"/>
      <c r="AD223" s="21"/>
      <c r="AE223" s="137"/>
      <c r="AH223" s="69"/>
      <c r="AI223" s="69"/>
    </row>
    <row r="224" spans="1:40" hidden="1" x14ac:dyDescent="0.3">
      <c r="A224" s="15"/>
      <c r="B224" s="394" t="s">
        <v>36</v>
      </c>
      <c r="C224" s="473">
        <v>0</v>
      </c>
      <c r="D224" s="387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3"/>
      <c r="W224" s="151"/>
      <c r="X224" s="184">
        <v>1296</v>
      </c>
      <c r="Y224" s="183">
        <v>12990.21725528</v>
      </c>
      <c r="Z224" s="211"/>
      <c r="AA224" s="21"/>
      <c r="AB224" s="21"/>
      <c r="AC224" s="21"/>
      <c r="AD224" s="21"/>
      <c r="AE224" s="86"/>
    </row>
    <row r="225" spans="1:35" hidden="1" x14ac:dyDescent="0.3">
      <c r="A225" s="15"/>
      <c r="B225" s="394" t="s">
        <v>37</v>
      </c>
      <c r="C225" s="473">
        <v>0</v>
      </c>
      <c r="D225" s="387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2"/>
      <c r="W225" s="151"/>
      <c r="X225" s="184">
        <v>1345</v>
      </c>
      <c r="Y225" s="183">
        <v>11734.405629929999</v>
      </c>
      <c r="Z225" s="211"/>
      <c r="AA225" s="21"/>
      <c r="AB225" s="21"/>
      <c r="AC225" s="21"/>
      <c r="AD225" s="21"/>
      <c r="AE225" s="87"/>
      <c r="AH225" s="677"/>
      <c r="AI225" s="677"/>
    </row>
    <row r="226" spans="1:35" hidden="1" x14ac:dyDescent="0.3">
      <c r="A226" s="15"/>
      <c r="B226" s="394" t="s">
        <v>41</v>
      </c>
      <c r="C226" s="473">
        <v>0</v>
      </c>
      <c r="D226" s="387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3"/>
      <c r="W226" s="151"/>
      <c r="X226" s="209"/>
      <c r="Y226" s="208"/>
      <c r="Z226" s="184"/>
      <c r="AA226" s="18"/>
      <c r="AB226" s="21"/>
      <c r="AC226" s="21"/>
      <c r="AD226" s="21"/>
      <c r="AE226" s="137"/>
      <c r="AH226" s="69"/>
      <c r="AI226" s="69"/>
    </row>
    <row r="227" spans="1:35" hidden="1" x14ac:dyDescent="0.3">
      <c r="A227" s="15"/>
      <c r="B227" s="394" t="s">
        <v>39</v>
      </c>
      <c r="C227" s="473">
        <v>0</v>
      </c>
      <c r="D227" s="387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3"/>
      <c r="W227" s="151"/>
      <c r="X227" s="209"/>
      <c r="Y227" s="210"/>
      <c r="Z227" s="211"/>
      <c r="AA227" s="21"/>
      <c r="AB227" s="21"/>
      <c r="AC227" s="21"/>
      <c r="AD227" s="21"/>
      <c r="AE227" s="86"/>
    </row>
    <row r="228" spans="1:35" hidden="1" x14ac:dyDescent="0.3">
      <c r="A228" s="15"/>
      <c r="B228" s="394" t="s">
        <v>40</v>
      </c>
      <c r="C228" s="473">
        <v>0</v>
      </c>
      <c r="D228" s="387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2"/>
      <c r="W228" s="151"/>
      <c r="X228" s="209"/>
      <c r="Y228" s="210"/>
      <c r="Z228" s="211"/>
      <c r="AA228" s="21"/>
      <c r="AB228" s="21"/>
      <c r="AC228" s="21"/>
      <c r="AD228" s="21"/>
      <c r="AE228" s="87"/>
      <c r="AH228" s="677"/>
      <c r="AI228" s="677"/>
    </row>
    <row r="229" spans="1:35" hidden="1" x14ac:dyDescent="0.3">
      <c r="A229" s="15"/>
      <c r="B229" s="394" t="s">
        <v>60</v>
      </c>
      <c r="C229" s="473">
        <v>0</v>
      </c>
      <c r="D229" s="387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3"/>
      <c r="W229" s="151"/>
      <c r="X229" s="209"/>
      <c r="Y229" s="208"/>
      <c r="Z229" s="184"/>
      <c r="AA229" s="18"/>
      <c r="AB229" s="21"/>
      <c r="AC229" s="21"/>
      <c r="AD229" s="21"/>
      <c r="AE229" s="137"/>
      <c r="AH229" s="69"/>
      <c r="AI229" s="69"/>
    </row>
    <row r="230" spans="1:35" x14ac:dyDescent="0.25">
      <c r="A230" s="15"/>
      <c r="B230" s="486" t="s">
        <v>29</v>
      </c>
      <c r="C230" s="487">
        <f>SUM(C218:C229)</f>
        <v>3469</v>
      </c>
      <c r="D230" s="488">
        <f>D218+D219+D220+D221+D222+D223+D224+D225+D226+D227+D228+D229</f>
        <v>40841.620172839997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84"/>
      <c r="W230" s="183"/>
      <c r="X230" s="209"/>
      <c r="Y230" s="208"/>
      <c r="Z230" s="184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7"/>
      <c r="D231" s="397"/>
      <c r="F231" s="12"/>
      <c r="H231" s="12"/>
      <c r="I231" s="12"/>
      <c r="J231" s="12"/>
      <c r="X231" s="183"/>
      <c r="Y231" s="209"/>
      <c r="Z231" s="210"/>
      <c r="AA231" s="211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3"/>
      <c r="Y232" s="214"/>
      <c r="Z232" s="214"/>
      <c r="AA232" s="215"/>
      <c r="AC232" s="21"/>
      <c r="AD232" s="21"/>
      <c r="AE232" s="18"/>
      <c r="AI232" s="21"/>
    </row>
    <row r="233" spans="1:35" ht="15" customHeight="1" x14ac:dyDescent="0.25">
      <c r="A233" s="15"/>
      <c r="E233" s="489"/>
      <c r="F233" s="12"/>
      <c r="H233" s="12"/>
      <c r="I233" s="12"/>
      <c r="J233" s="12"/>
      <c r="X233" s="183"/>
      <c r="AC233" s="21"/>
      <c r="AD233" s="21"/>
      <c r="AE233" s="18"/>
      <c r="AI233" s="21"/>
    </row>
    <row r="234" spans="1:35" ht="15" customHeight="1" x14ac:dyDescent="0.25">
      <c r="A234" s="15"/>
      <c r="C234" s="397"/>
      <c r="D234" s="397"/>
      <c r="F234" s="12"/>
      <c r="H234" s="12"/>
      <c r="I234" s="12"/>
      <c r="J234" s="12"/>
      <c r="X234" s="183"/>
      <c r="Y234" s="214"/>
      <c r="Z234" s="214"/>
      <c r="AA234" s="215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3"/>
      <c r="Y235" s="214"/>
      <c r="Z235" s="214"/>
      <c r="AA235" s="215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3"/>
      <c r="Y236" s="214"/>
      <c r="Z236" s="214"/>
      <c r="AA236" s="215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3"/>
      <c r="Y237" s="214"/>
      <c r="Z237" s="214"/>
      <c r="AA237" s="215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3"/>
      <c r="Y238" s="214"/>
      <c r="Z238" s="214"/>
      <c r="AA238" s="215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3"/>
      <c r="Y239" s="214"/>
      <c r="Z239" s="214"/>
      <c r="AA239" s="215"/>
      <c r="AC239" s="21"/>
      <c r="AD239" s="21"/>
      <c r="AE239" s="18"/>
      <c r="AI239" s="21"/>
    </row>
    <row r="240" spans="1:35" ht="15" customHeight="1" x14ac:dyDescent="0.25">
      <c r="A240" s="15"/>
      <c r="B240" s="483"/>
      <c r="C240" s="490"/>
      <c r="D240" s="490"/>
      <c r="E240" s="491"/>
      <c r="G240" s="32"/>
      <c r="H240" s="12"/>
      <c r="I240" s="12"/>
      <c r="J240" s="12"/>
      <c r="X240" s="183"/>
      <c r="AC240" s="21"/>
      <c r="AD240" s="21"/>
      <c r="AE240" s="18"/>
      <c r="AI240" s="21"/>
    </row>
    <row r="241" spans="1:32" ht="33" customHeight="1" x14ac:dyDescent="0.25">
      <c r="A241" s="26"/>
      <c r="B241" s="645" t="s">
        <v>221</v>
      </c>
      <c r="C241" s="645"/>
      <c r="D241" s="645"/>
      <c r="E241" s="645"/>
      <c r="F241" s="665"/>
      <c r="G241" s="665"/>
      <c r="H241" s="665"/>
      <c r="I241" s="12"/>
      <c r="J241" s="12"/>
      <c r="K241" s="12"/>
      <c r="L241" s="12"/>
      <c r="M241" s="266"/>
      <c r="Y241" s="214"/>
      <c r="Z241" s="184"/>
      <c r="AA241" s="183"/>
      <c r="AC241" s="16"/>
    </row>
    <row r="242" spans="1:32" ht="15.75" customHeight="1" x14ac:dyDescent="0.25">
      <c r="A242" s="15"/>
      <c r="E242" s="373"/>
      <c r="H242" s="12"/>
      <c r="I242" s="12"/>
      <c r="J242" s="12"/>
      <c r="K242" s="12"/>
      <c r="L242" s="12"/>
      <c r="M242" s="266"/>
      <c r="Y242" s="214"/>
      <c r="Z242" s="184"/>
      <c r="AA242" s="183"/>
      <c r="AC242" s="28"/>
      <c r="AE242" s="25"/>
    </row>
    <row r="243" spans="1:32" ht="30.75" customHeight="1" x14ac:dyDescent="0.25">
      <c r="A243" s="15"/>
      <c r="B243" s="492"/>
      <c r="C243" s="656" t="s">
        <v>435</v>
      </c>
      <c r="D243" s="657"/>
      <c r="E243" s="654" t="s">
        <v>436</v>
      </c>
      <c r="F243" s="655"/>
      <c r="G243" s="19"/>
      <c r="X243" s="653" t="s">
        <v>274</v>
      </c>
      <c r="Y243" s="653"/>
      <c r="Z243" s="653"/>
      <c r="AA243" s="653"/>
      <c r="AB243" s="45"/>
      <c r="AC243" s="653" t="s">
        <v>271</v>
      </c>
      <c r="AD243" s="653"/>
      <c r="AE243" s="653"/>
      <c r="AF243" s="653"/>
    </row>
    <row r="244" spans="1:32" ht="26.25" customHeight="1" x14ac:dyDescent="0.3">
      <c r="A244" s="15"/>
      <c r="B244" s="493" t="s">
        <v>144</v>
      </c>
      <c r="C244" s="562" t="s">
        <v>58</v>
      </c>
      <c r="D244" s="494" t="s">
        <v>132</v>
      </c>
      <c r="E244" s="495" t="s">
        <v>58</v>
      </c>
      <c r="F244" s="411" t="s">
        <v>132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16"/>
      <c r="W244" s="217" t="s">
        <v>144</v>
      </c>
      <c r="X244" s="218" t="s">
        <v>58</v>
      </c>
      <c r="Y244" s="218" t="s">
        <v>220</v>
      </c>
      <c r="Z244" s="218" t="s">
        <v>132</v>
      </c>
      <c r="AA244" s="140"/>
      <c r="AB244" s="217" t="s">
        <v>144</v>
      </c>
      <c r="AC244" s="218" t="s">
        <v>58</v>
      </c>
      <c r="AD244" s="218" t="s">
        <v>220</v>
      </c>
      <c r="AE244" s="218" t="s">
        <v>132</v>
      </c>
    </row>
    <row r="245" spans="1:32" ht="21" customHeight="1" x14ac:dyDescent="0.3">
      <c r="A245" s="15"/>
      <c r="B245" s="496" t="s">
        <v>130</v>
      </c>
      <c r="C245" s="563">
        <v>657</v>
      </c>
      <c r="D245" s="371">
        <v>9.2781278538812781</v>
      </c>
      <c r="E245" s="473">
        <v>181</v>
      </c>
      <c r="F245" s="371">
        <v>8.408044198895027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63"/>
      <c r="W245" s="219" t="s">
        <v>130</v>
      </c>
      <c r="X245" s="250">
        <v>658</v>
      </c>
      <c r="Y245" s="251">
        <v>5776.5609999999997</v>
      </c>
      <c r="Z245" s="572">
        <f>+Y245/X245</f>
        <v>8.7789680851063832</v>
      </c>
      <c r="AA245" s="44"/>
      <c r="AB245" s="219" t="s">
        <v>130</v>
      </c>
      <c r="AC245" s="203">
        <v>830</v>
      </c>
      <c r="AD245" s="185">
        <v>5428.8249999999998</v>
      </c>
      <c r="AE245" s="185">
        <f>+AD245/AC245</f>
        <v>6.5407530120481923</v>
      </c>
    </row>
    <row r="246" spans="1:32" ht="21" customHeight="1" x14ac:dyDescent="0.25">
      <c r="A246" s="15"/>
      <c r="B246" s="497" t="s">
        <v>131</v>
      </c>
      <c r="C246" s="563">
        <v>300</v>
      </c>
      <c r="D246" s="371">
        <v>24.477884809999999</v>
      </c>
      <c r="E246" s="473">
        <v>232</v>
      </c>
      <c r="F246" s="371">
        <v>20.727940397974137</v>
      </c>
      <c r="G246" s="19"/>
      <c r="H246" s="19"/>
      <c r="L246" s="22"/>
      <c r="M246" s="19"/>
      <c r="P246" s="22"/>
      <c r="V246" s="163"/>
      <c r="W246" s="219" t="s">
        <v>131</v>
      </c>
      <c r="X246" s="406">
        <v>71</v>
      </c>
      <c r="Y246" s="407">
        <v>1355.82168581</v>
      </c>
      <c r="Z246" s="572">
        <f>+Y246/X246</f>
        <v>19.096080081830987</v>
      </c>
      <c r="AA246" s="44"/>
      <c r="AB246" s="219" t="s">
        <v>131</v>
      </c>
      <c r="AC246" s="203">
        <v>43</v>
      </c>
      <c r="AD246" s="185">
        <v>686.34394599000007</v>
      </c>
      <c r="AE246" s="185">
        <f>+AD246/AC246</f>
        <v>15.961487116046513</v>
      </c>
    </row>
    <row r="247" spans="1:32" ht="15" customHeight="1" x14ac:dyDescent="0.25">
      <c r="A247" s="15"/>
      <c r="B247" s="498" t="s">
        <v>29</v>
      </c>
      <c r="C247" s="564">
        <f>SUM(C245:C246)</f>
        <v>957</v>
      </c>
      <c r="D247" s="499"/>
      <c r="E247" s="500">
        <f>+E246+E245</f>
        <v>413</v>
      </c>
      <c r="F247" s="412"/>
      <c r="G247" s="19"/>
      <c r="H247" s="19"/>
      <c r="K247" s="24"/>
      <c r="L247" s="22"/>
      <c r="M247" s="19"/>
      <c r="P247" s="22"/>
      <c r="V247" s="163"/>
      <c r="W247" s="220" t="s">
        <v>29</v>
      </c>
      <c r="X247" s="221">
        <f>SUM(X245:X246)</f>
        <v>729</v>
      </c>
      <c r="Y247" s="222"/>
      <c r="Z247" s="223"/>
      <c r="AA247" s="141"/>
      <c r="AB247" s="220" t="s">
        <v>29</v>
      </c>
      <c r="AC247" s="221">
        <f>SUM(AC245:AC246)</f>
        <v>873</v>
      </c>
      <c r="AD247" s="222"/>
      <c r="AE247" s="223"/>
    </row>
    <row r="248" spans="1:32" ht="15.75" customHeight="1" x14ac:dyDescent="0.25">
      <c r="A248" s="15"/>
      <c r="B248" s="501"/>
      <c r="C248" s="502"/>
      <c r="D248" s="502"/>
      <c r="E248" s="502"/>
      <c r="F248" s="141"/>
      <c r="G248" s="142"/>
      <c r="H248" s="19"/>
      <c r="L248" s="24"/>
      <c r="Y248" s="224"/>
      <c r="Z248" s="223"/>
      <c r="AA248" s="223"/>
      <c r="AB248" s="141"/>
      <c r="AC248" s="142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25"/>
      <c r="Y249" s="214"/>
      <c r="Z249" s="208"/>
      <c r="AA249" s="183"/>
      <c r="AC249" s="16"/>
    </row>
    <row r="250" spans="1:32" ht="15.75" customHeight="1" x14ac:dyDescent="0.3">
      <c r="A250" s="15"/>
      <c r="E250" s="373"/>
      <c r="P250" s="88"/>
      <c r="Q250" s="88"/>
      <c r="R250" s="88"/>
      <c r="S250" s="88"/>
      <c r="T250" s="88"/>
      <c r="U250" s="88"/>
      <c r="V250" s="88"/>
      <c r="W250" s="225"/>
      <c r="Y250" s="214"/>
      <c r="Z250" s="208"/>
      <c r="AA250" s="183"/>
      <c r="AC250" s="16"/>
    </row>
    <row r="251" spans="1:32" ht="15.75" customHeight="1" x14ac:dyDescent="0.3">
      <c r="A251" s="15"/>
      <c r="E251" s="373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W251" s="225"/>
      <c r="Y251" s="214"/>
      <c r="Z251" s="184"/>
      <c r="AA251" s="183"/>
      <c r="AC251" s="16"/>
    </row>
    <row r="252" spans="1:32" ht="15.75" customHeight="1" x14ac:dyDescent="0.3">
      <c r="A252" s="15"/>
      <c r="E252" s="373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25"/>
      <c r="Y252" s="214"/>
      <c r="Z252" s="184"/>
      <c r="AA252" s="183"/>
      <c r="AC252" s="16"/>
    </row>
    <row r="253" spans="1:32" ht="15.75" customHeight="1" x14ac:dyDescent="0.3">
      <c r="A253" s="15"/>
      <c r="E253" s="373"/>
      <c r="G253" s="19"/>
      <c r="H253" s="19"/>
      <c r="P253" s="88"/>
      <c r="Q253" s="89"/>
      <c r="R253" s="89"/>
      <c r="S253" s="89"/>
      <c r="T253" s="89"/>
      <c r="U253" s="89"/>
      <c r="V253" s="89"/>
      <c r="W253" s="225"/>
      <c r="Y253" s="214"/>
      <c r="Z253" s="184"/>
      <c r="AA253" s="183"/>
      <c r="AC253" s="16"/>
    </row>
    <row r="254" spans="1:32" ht="15.75" customHeight="1" x14ac:dyDescent="0.3">
      <c r="A254" s="15"/>
      <c r="E254" s="373"/>
      <c r="G254" s="24"/>
      <c r="H254" s="24"/>
      <c r="Q254" s="88"/>
      <c r="R254" s="88"/>
      <c r="S254" s="88"/>
      <c r="T254" s="88"/>
      <c r="U254" s="88"/>
      <c r="V254" s="88"/>
      <c r="W254" s="225"/>
      <c r="Y254" s="214"/>
      <c r="Z254" s="184"/>
      <c r="AA254" s="183"/>
      <c r="AC254" s="16"/>
    </row>
    <row r="255" spans="1:32" ht="15.75" customHeight="1" x14ac:dyDescent="0.3">
      <c r="A255" s="15"/>
      <c r="E255" s="373"/>
      <c r="Q255" s="88"/>
      <c r="R255" s="88"/>
      <c r="S255" s="88"/>
      <c r="T255" s="88"/>
      <c r="U255" s="88"/>
      <c r="V255" s="88"/>
      <c r="W255" s="225"/>
      <c r="Y255" s="214"/>
      <c r="Z255" s="184"/>
      <c r="AA255" s="183"/>
      <c r="AC255" s="16"/>
    </row>
    <row r="256" spans="1:32" ht="15.75" customHeight="1" x14ac:dyDescent="0.3">
      <c r="A256" s="15"/>
      <c r="E256" s="373"/>
      <c r="Q256" s="88"/>
      <c r="R256" s="88"/>
      <c r="S256" s="88"/>
      <c r="T256" s="88"/>
      <c r="U256" s="88"/>
      <c r="V256" s="88"/>
      <c r="W256" s="225"/>
      <c r="Y256" s="214"/>
      <c r="Z256" s="184"/>
      <c r="AA256" s="183"/>
      <c r="AC256" s="16"/>
    </row>
    <row r="257" spans="1:26" ht="15.75" customHeight="1" x14ac:dyDescent="0.3">
      <c r="A257" s="15"/>
      <c r="E257" s="373"/>
      <c r="Q257" s="88"/>
      <c r="R257" s="88"/>
      <c r="S257" s="88"/>
      <c r="T257" s="88"/>
      <c r="U257" s="88"/>
      <c r="V257" s="88"/>
      <c r="W257" s="225"/>
      <c r="Y257" s="214"/>
      <c r="Z257" s="184"/>
    </row>
    <row r="258" spans="1:26" ht="15.75" customHeight="1" x14ac:dyDescent="0.3">
      <c r="A258" s="15"/>
      <c r="E258" s="373"/>
      <c r="Q258" s="88"/>
      <c r="R258" s="88"/>
      <c r="S258" s="88"/>
      <c r="T258" s="88"/>
      <c r="U258" s="88"/>
      <c r="V258" s="88"/>
      <c r="W258" s="225"/>
      <c r="Y258" s="214"/>
      <c r="Z258" s="184"/>
    </row>
    <row r="259" spans="1:26" ht="15.75" customHeight="1" x14ac:dyDescent="0.3">
      <c r="A259" s="15"/>
      <c r="E259" s="373"/>
      <c r="Q259" s="88"/>
      <c r="R259" s="88"/>
      <c r="S259" s="88"/>
      <c r="T259" s="88"/>
      <c r="U259" s="88"/>
      <c r="V259" s="88"/>
      <c r="W259" s="225"/>
      <c r="Y259" s="214"/>
      <c r="Z259" s="184"/>
    </row>
    <row r="260" spans="1:26" ht="15.75" customHeight="1" x14ac:dyDescent="0.3">
      <c r="A260" s="15"/>
      <c r="E260" s="373"/>
      <c r="Q260" s="88"/>
      <c r="R260" s="88"/>
      <c r="S260" s="88"/>
      <c r="T260" s="88"/>
      <c r="U260" s="88"/>
      <c r="V260" s="88"/>
      <c r="W260" s="225"/>
      <c r="Y260" s="214"/>
      <c r="Z260" s="184"/>
    </row>
    <row r="261" spans="1:26" ht="15.75" customHeight="1" x14ac:dyDescent="0.3">
      <c r="A261" s="15"/>
      <c r="E261" s="373"/>
      <c r="Q261" s="88"/>
      <c r="R261" s="88"/>
      <c r="S261" s="88"/>
      <c r="T261" s="88"/>
      <c r="U261" s="88"/>
      <c r="V261" s="88"/>
      <c r="W261" s="225"/>
      <c r="Y261" s="214"/>
      <c r="Z261" s="184"/>
    </row>
    <row r="262" spans="1:26" ht="15.75" customHeight="1" x14ac:dyDescent="0.3">
      <c r="A262" s="15"/>
      <c r="E262" s="373"/>
      <c r="Q262" s="88"/>
      <c r="R262" s="88"/>
      <c r="S262" s="88"/>
      <c r="T262" s="88"/>
      <c r="U262" s="88"/>
      <c r="V262" s="88"/>
      <c r="W262" s="225"/>
      <c r="Y262" s="214"/>
      <c r="Z262" s="184"/>
    </row>
    <row r="263" spans="1:26" ht="15.75" customHeight="1" x14ac:dyDescent="0.3">
      <c r="A263" s="15"/>
      <c r="E263" s="373"/>
      <c r="Q263" s="88"/>
      <c r="R263" s="88"/>
      <c r="S263" s="88"/>
      <c r="T263" s="88"/>
      <c r="U263" s="88"/>
      <c r="V263" s="88"/>
      <c r="W263" s="225"/>
      <c r="Y263" s="214"/>
      <c r="Z263" s="184"/>
    </row>
    <row r="264" spans="1:26" ht="15.75" customHeight="1" x14ac:dyDescent="0.3">
      <c r="A264" s="15"/>
      <c r="E264" s="373"/>
      <c r="Q264" s="88"/>
      <c r="R264" s="88"/>
      <c r="S264" s="88"/>
      <c r="T264" s="88"/>
      <c r="U264" s="88"/>
      <c r="V264" s="88"/>
      <c r="W264" s="225"/>
      <c r="Y264" s="214"/>
      <c r="Z264" s="184"/>
    </row>
    <row r="265" spans="1:26" ht="15.75" customHeight="1" x14ac:dyDescent="0.3">
      <c r="A265" s="15"/>
      <c r="E265" s="373"/>
      <c r="Q265" s="88"/>
      <c r="R265" s="88"/>
      <c r="S265" s="88"/>
      <c r="T265" s="88"/>
      <c r="U265" s="88"/>
      <c r="V265" s="88"/>
      <c r="W265" s="225"/>
      <c r="Y265" s="214"/>
      <c r="Z265" s="184"/>
    </row>
    <row r="266" spans="1:26" ht="26.25" customHeight="1" x14ac:dyDescent="0.3">
      <c r="A266" s="26"/>
      <c r="B266" s="664" t="s">
        <v>250</v>
      </c>
      <c r="C266" s="664"/>
      <c r="D266" s="664"/>
      <c r="E266" s="664"/>
      <c r="F266" s="664"/>
      <c r="G266" s="664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25"/>
      <c r="Y266" s="214"/>
      <c r="Z266" s="184"/>
    </row>
    <row r="267" spans="1:26" ht="15.75" customHeight="1" x14ac:dyDescent="0.3">
      <c r="A267" s="15"/>
      <c r="E267" s="373"/>
      <c r="Q267" s="88"/>
      <c r="R267" s="88"/>
      <c r="S267" s="88"/>
      <c r="T267" s="88"/>
      <c r="U267" s="88"/>
      <c r="V267" s="88"/>
      <c r="W267" s="216"/>
      <c r="Y267" s="214"/>
      <c r="Z267" s="184"/>
    </row>
    <row r="268" spans="1:26" ht="15.75" customHeight="1" x14ac:dyDescent="0.3">
      <c r="A268" s="15"/>
      <c r="E268" s="373"/>
      <c r="Q268" s="88"/>
      <c r="R268" s="88"/>
      <c r="S268" s="88"/>
      <c r="T268" s="88"/>
      <c r="U268" s="88"/>
      <c r="V268" s="88"/>
      <c r="W268" s="216"/>
    </row>
    <row r="269" spans="1:26" ht="15.75" customHeight="1" x14ac:dyDescent="0.3">
      <c r="A269" s="15"/>
      <c r="E269" s="373"/>
      <c r="Q269" s="88"/>
      <c r="R269" s="88"/>
      <c r="S269" s="88"/>
      <c r="T269" s="88"/>
      <c r="U269" s="88"/>
      <c r="V269" s="88"/>
      <c r="W269" s="151"/>
      <c r="Y269" s="153"/>
      <c r="Z269" s="226"/>
    </row>
    <row r="270" spans="1:26" ht="30" customHeight="1" x14ac:dyDescent="0.3">
      <c r="A270" s="15"/>
      <c r="B270" s="439" t="s">
        <v>104</v>
      </c>
      <c r="C270" s="494" t="s">
        <v>58</v>
      </c>
      <c r="D270" s="503" t="s">
        <v>132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51"/>
      <c r="W270" s="227" t="s">
        <v>104</v>
      </c>
      <c r="X270" s="218" t="s">
        <v>58</v>
      </c>
      <c r="Y270" s="218" t="s">
        <v>236</v>
      </c>
      <c r="Z270" s="218" t="s">
        <v>235</v>
      </c>
    </row>
    <row r="271" spans="1:26" s="3" customFormat="1" ht="21" customHeight="1" x14ac:dyDescent="0.3">
      <c r="A271" s="46"/>
      <c r="B271" s="377" t="s">
        <v>133</v>
      </c>
      <c r="C271" s="367">
        <f>+X271</f>
        <v>68</v>
      </c>
      <c r="D271" s="371">
        <f>+Y271</f>
        <v>21.48250233029411</v>
      </c>
      <c r="E271" s="367"/>
      <c r="L271" s="293"/>
      <c r="P271" s="90"/>
      <c r="Q271" s="90"/>
      <c r="R271" s="90"/>
      <c r="S271" s="90"/>
      <c r="T271" s="90"/>
      <c r="U271" s="90"/>
      <c r="V271" s="153"/>
      <c r="W271" s="148" t="s">
        <v>133</v>
      </c>
      <c r="X271" s="153">
        <v>68</v>
      </c>
      <c r="Y271" s="228">
        <f>(Z271/X271)/1000000</f>
        <v>21.48250233029411</v>
      </c>
      <c r="Z271" s="228">
        <v>1460810158.4599996</v>
      </c>
    </row>
    <row r="272" spans="1:26" s="3" customFormat="1" ht="21" customHeight="1" x14ac:dyDescent="0.3">
      <c r="A272" s="46"/>
      <c r="B272" s="377" t="s">
        <v>134</v>
      </c>
      <c r="C272" s="367">
        <f>+X272</f>
        <v>121</v>
      </c>
      <c r="D272" s="371">
        <f t="shared" ref="D272:D273" si="9">+Y272</f>
        <v>30.894440651487606</v>
      </c>
      <c r="E272" s="367"/>
      <c r="L272" s="293"/>
      <c r="P272" s="90"/>
      <c r="Q272" s="90"/>
      <c r="R272" s="90"/>
      <c r="S272" s="90"/>
      <c r="T272" s="90"/>
      <c r="U272" s="90"/>
      <c r="V272" s="153"/>
      <c r="W272" s="148" t="s">
        <v>134</v>
      </c>
      <c r="X272" s="153">
        <v>121</v>
      </c>
      <c r="Y272" s="228">
        <f>(Z272/X272)/1000000</f>
        <v>30.894440651487606</v>
      </c>
      <c r="Z272" s="228">
        <v>3738227318.8300004</v>
      </c>
    </row>
    <row r="273" spans="1:32" s="3" customFormat="1" ht="21" customHeight="1" x14ac:dyDescent="0.3">
      <c r="A273" s="46"/>
      <c r="B273" s="377" t="s">
        <v>135</v>
      </c>
      <c r="C273" s="367">
        <f>+X273</f>
        <v>111</v>
      </c>
      <c r="D273" s="371">
        <f t="shared" si="9"/>
        <v>19.318269961351362</v>
      </c>
      <c r="E273" s="367"/>
      <c r="L273" s="293"/>
      <c r="P273" s="90"/>
      <c r="Q273" s="90"/>
      <c r="R273" s="90"/>
      <c r="S273" s="90"/>
      <c r="T273" s="90"/>
      <c r="U273" s="90"/>
      <c r="V273" s="229"/>
      <c r="W273" s="148" t="s">
        <v>135</v>
      </c>
      <c r="X273" s="153">
        <v>111</v>
      </c>
      <c r="Y273" s="228">
        <f>(Z273/X273)/1000000</f>
        <v>19.318269961351362</v>
      </c>
      <c r="Z273" s="228">
        <v>2144327965.710001</v>
      </c>
    </row>
    <row r="274" spans="1:32" ht="15.75" customHeight="1" x14ac:dyDescent="0.3">
      <c r="A274" s="15"/>
      <c r="B274" s="504" t="s">
        <v>29</v>
      </c>
      <c r="C274" s="368">
        <f>SUM(C271:C273)</f>
        <v>300</v>
      </c>
      <c r="D274" s="431">
        <f>SUM(D271:D273)</f>
        <v>71.695212943133072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16"/>
      <c r="W274" s="220" t="s">
        <v>29</v>
      </c>
      <c r="X274" s="230">
        <f>SUM(X271:X273)</f>
        <v>300</v>
      </c>
      <c r="Y274" s="231"/>
      <c r="Z274" s="231">
        <f>SUM(Z271:Z273)</f>
        <v>7343365443.000001</v>
      </c>
    </row>
    <row r="275" spans="1:32" ht="15.75" customHeight="1" x14ac:dyDescent="0.3">
      <c r="A275" s="15"/>
      <c r="E275" s="367"/>
      <c r="Q275" s="88"/>
      <c r="R275" s="88"/>
      <c r="S275" s="88"/>
      <c r="T275" s="88"/>
      <c r="U275" s="88"/>
      <c r="V275" s="88"/>
      <c r="W275" s="216"/>
      <c r="Y275" s="214"/>
      <c r="Z275" s="184"/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216"/>
      <c r="Y276" s="214"/>
      <c r="Z276" s="184"/>
    </row>
    <row r="277" spans="1:32" ht="15.75" customHeight="1" x14ac:dyDescent="0.3">
      <c r="A277" s="15"/>
      <c r="E277" s="373"/>
      <c r="Q277" s="88"/>
      <c r="R277" s="88"/>
      <c r="S277" s="88"/>
      <c r="T277" s="88"/>
      <c r="U277" s="88"/>
      <c r="V277" s="88"/>
      <c r="W277" s="225"/>
      <c r="Y277" s="214"/>
      <c r="Z277" s="184"/>
    </row>
    <row r="278" spans="1:32" ht="15.75" customHeight="1" x14ac:dyDescent="0.25">
      <c r="E278" s="448"/>
      <c r="J278" s="74"/>
      <c r="Y278" s="214"/>
      <c r="Z278" s="184"/>
    </row>
    <row r="279" spans="1:32" ht="15.75" customHeight="1" x14ac:dyDescent="0.25">
      <c r="B279" s="475"/>
      <c r="C279" s="377"/>
      <c r="D279" s="377"/>
      <c r="E279" s="377"/>
      <c r="J279" s="13"/>
      <c r="W279" s="232"/>
      <c r="Y279" s="214"/>
      <c r="Z279" s="184"/>
    </row>
    <row r="280" spans="1:32" ht="15" customHeight="1" x14ac:dyDescent="0.25">
      <c r="B280" s="475"/>
      <c r="C280" s="377"/>
      <c r="D280" s="377"/>
      <c r="E280" s="377"/>
      <c r="J280" s="13"/>
      <c r="W280" s="233"/>
      <c r="Y280" s="214"/>
      <c r="Z280" s="184"/>
    </row>
    <row r="281" spans="1:32" ht="14.25" customHeight="1" x14ac:dyDescent="0.25">
      <c r="B281" s="475"/>
      <c r="C281" s="377"/>
      <c r="D281" s="377"/>
      <c r="E281" s="377"/>
      <c r="J281" s="13"/>
      <c r="W281" s="233"/>
      <c r="Y281" s="214"/>
      <c r="Z281" s="184"/>
    </row>
    <row r="282" spans="1:32" ht="15" customHeight="1" x14ac:dyDescent="0.25">
      <c r="B282" s="475"/>
      <c r="C282" s="377"/>
      <c r="D282" s="377"/>
      <c r="E282" s="377"/>
      <c r="J282" s="13"/>
      <c r="W282" s="233"/>
      <c r="Y282" s="214"/>
      <c r="Z282" s="184"/>
    </row>
    <row r="283" spans="1:32" x14ac:dyDescent="0.25">
      <c r="B283" s="475"/>
      <c r="C283" s="377"/>
      <c r="D283" s="377"/>
      <c r="E283" s="377"/>
      <c r="J283" s="13"/>
      <c r="W283" s="233"/>
      <c r="Y283" s="214"/>
      <c r="Z283" s="184"/>
    </row>
    <row r="284" spans="1:32" ht="15" customHeight="1" x14ac:dyDescent="0.25">
      <c r="B284" s="475"/>
      <c r="C284" s="473"/>
      <c r="D284" s="473"/>
      <c r="E284" s="377"/>
      <c r="J284" s="13"/>
      <c r="W284" s="233"/>
      <c r="Y284" s="214"/>
      <c r="Z284" s="184"/>
    </row>
    <row r="285" spans="1:32" ht="15" customHeight="1" x14ac:dyDescent="0.25">
      <c r="B285" s="475"/>
      <c r="C285" s="377"/>
      <c r="D285" s="377"/>
      <c r="E285" s="377"/>
      <c r="J285" s="13"/>
      <c r="W285" s="233"/>
      <c r="Z285" s="184"/>
    </row>
    <row r="286" spans="1:32" ht="15" customHeight="1" x14ac:dyDescent="0.25">
      <c r="B286" s="475"/>
      <c r="C286" s="377"/>
      <c r="D286" s="377"/>
      <c r="E286" s="377"/>
      <c r="J286" s="13"/>
      <c r="W286" s="233"/>
      <c r="Y286" s="184"/>
      <c r="Z286" s="183"/>
    </row>
    <row r="287" spans="1:32" ht="27.75" customHeight="1" x14ac:dyDescent="0.25">
      <c r="A287" s="26"/>
      <c r="B287" s="664" t="s">
        <v>169</v>
      </c>
      <c r="C287" s="664"/>
      <c r="D287" s="664"/>
      <c r="E287" s="664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Y287" s="207"/>
      <c r="Z287" s="208"/>
      <c r="AA287" s="184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84"/>
      <c r="C288" s="385"/>
      <c r="D288" s="385"/>
      <c r="E288" s="367"/>
      <c r="J288" s="3"/>
      <c r="W288" s="233"/>
      <c r="Y288" s="184"/>
      <c r="Z288" s="183"/>
    </row>
    <row r="289" spans="1:17" ht="15" customHeight="1" x14ac:dyDescent="0.25">
      <c r="A289" s="26"/>
      <c r="B289" s="384"/>
      <c r="C289" s="675" t="s">
        <v>52</v>
      </c>
      <c r="D289" s="675"/>
      <c r="E289" s="675" t="s">
        <v>166</v>
      </c>
      <c r="F289" s="675"/>
      <c r="G289" s="675" t="s">
        <v>298</v>
      </c>
      <c r="H289" s="675"/>
      <c r="J289" s="3"/>
    </row>
    <row r="290" spans="1:17" ht="15" customHeight="1" x14ac:dyDescent="0.25">
      <c r="A290" s="15"/>
      <c r="B290" s="625" t="s">
        <v>28</v>
      </c>
      <c r="C290" s="625" t="s">
        <v>58</v>
      </c>
      <c r="D290" s="626" t="s">
        <v>96</v>
      </c>
      <c r="E290" s="625" t="s">
        <v>58</v>
      </c>
      <c r="F290" s="626" t="s">
        <v>96</v>
      </c>
      <c r="G290" s="627" t="s">
        <v>299</v>
      </c>
      <c r="H290" s="627" t="s">
        <v>300</v>
      </c>
      <c r="I290" s="3"/>
      <c r="L290" s="22"/>
      <c r="M290" s="19"/>
      <c r="Q290" s="19"/>
    </row>
    <row r="291" spans="1:17" x14ac:dyDescent="0.25">
      <c r="A291" s="15"/>
      <c r="B291" s="632" t="s">
        <v>59</v>
      </c>
      <c r="C291" s="628">
        <v>54</v>
      </c>
      <c r="D291" s="629">
        <v>511.95699999999999</v>
      </c>
      <c r="E291" s="628">
        <v>95</v>
      </c>
      <c r="F291" s="629">
        <v>1844.1658275699999</v>
      </c>
      <c r="G291" s="628">
        <v>149</v>
      </c>
      <c r="H291" s="629">
        <v>2356.12282757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632" t="s">
        <v>32</v>
      </c>
      <c r="C292" s="628">
        <v>300</v>
      </c>
      <c r="D292" s="629">
        <v>2670.384</v>
      </c>
      <c r="E292" s="628">
        <v>137</v>
      </c>
      <c r="F292" s="629">
        <v>2622.9705079299997</v>
      </c>
      <c r="G292" s="628">
        <v>437</v>
      </c>
      <c r="H292" s="629">
        <v>5293.3545079300002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632" t="s">
        <v>33</v>
      </c>
      <c r="C293" s="628">
        <v>819</v>
      </c>
      <c r="D293" s="629">
        <v>7616.46</v>
      </c>
      <c r="E293" s="628">
        <v>395</v>
      </c>
      <c r="F293" s="629">
        <v>9903.2043914999995</v>
      </c>
      <c r="G293" s="628">
        <v>1214</v>
      </c>
      <c r="H293" s="629">
        <v>17519.664391499999</v>
      </c>
      <c r="I293" s="3"/>
      <c r="L293" s="22"/>
      <c r="M293" s="19"/>
      <c r="O293" s="12"/>
      <c r="P293" s="12"/>
      <c r="Q293" s="19"/>
    </row>
    <row r="294" spans="1:17" x14ac:dyDescent="0.25">
      <c r="A294" s="15"/>
      <c r="B294" s="632" t="s">
        <v>34</v>
      </c>
      <c r="C294" s="628">
        <v>214</v>
      </c>
      <c r="D294" s="629">
        <v>1884.952</v>
      </c>
      <c r="E294" s="628">
        <v>139</v>
      </c>
      <c r="F294" s="629">
        <v>2942.2798480700003</v>
      </c>
      <c r="G294" s="628">
        <v>353</v>
      </c>
      <c r="H294" s="629">
        <v>4827.2318480700005</v>
      </c>
      <c r="I294" s="3"/>
      <c r="L294" s="22"/>
      <c r="M294" s="19"/>
      <c r="Q294" s="21"/>
    </row>
    <row r="295" spans="1:17" hidden="1" x14ac:dyDescent="0.25">
      <c r="A295" s="15"/>
      <c r="B295" s="632" t="s">
        <v>35</v>
      </c>
      <c r="C295" s="628">
        <v>0</v>
      </c>
      <c r="D295" s="629">
        <v>0</v>
      </c>
      <c r="E295" s="628">
        <v>0</v>
      </c>
      <c r="F295" s="629">
        <v>0</v>
      </c>
      <c r="G295" s="628">
        <v>0</v>
      </c>
      <c r="H295" s="629">
        <v>0</v>
      </c>
      <c r="I295" s="3"/>
      <c r="L295" s="22"/>
      <c r="M295" s="19"/>
      <c r="Q295" s="21"/>
    </row>
    <row r="296" spans="1:17" hidden="1" x14ac:dyDescent="0.25">
      <c r="A296" s="15"/>
      <c r="B296" s="632" t="s">
        <v>31</v>
      </c>
      <c r="C296" s="628">
        <v>0</v>
      </c>
      <c r="D296" s="629">
        <v>0</v>
      </c>
      <c r="E296" s="628">
        <v>0</v>
      </c>
      <c r="F296" s="629">
        <v>0</v>
      </c>
      <c r="G296" s="628">
        <v>0</v>
      </c>
      <c r="H296" s="629">
        <v>0</v>
      </c>
      <c r="I296" s="3"/>
      <c r="L296" s="22"/>
      <c r="M296" s="19"/>
      <c r="Q296" s="21"/>
    </row>
    <row r="297" spans="1:17" hidden="1" x14ac:dyDescent="0.25">
      <c r="A297" s="15"/>
      <c r="B297" s="632" t="s">
        <v>36</v>
      </c>
      <c r="C297" s="628">
        <v>0</v>
      </c>
      <c r="D297" s="629">
        <v>0</v>
      </c>
      <c r="E297" s="628">
        <v>0</v>
      </c>
      <c r="F297" s="629">
        <v>0</v>
      </c>
      <c r="G297" s="628">
        <v>0</v>
      </c>
      <c r="H297" s="629">
        <v>0</v>
      </c>
      <c r="I297" s="3"/>
      <c r="L297" s="22"/>
      <c r="M297" s="19"/>
      <c r="Q297" s="21"/>
    </row>
    <row r="298" spans="1:17" hidden="1" x14ac:dyDescent="0.25">
      <c r="A298" s="15"/>
      <c r="B298" s="632" t="s">
        <v>37</v>
      </c>
      <c r="C298" s="628">
        <v>0</v>
      </c>
      <c r="D298" s="629">
        <v>0</v>
      </c>
      <c r="E298" s="628">
        <v>0</v>
      </c>
      <c r="F298" s="629">
        <v>0</v>
      </c>
      <c r="G298" s="628">
        <v>0</v>
      </c>
      <c r="H298" s="629">
        <v>0</v>
      </c>
      <c r="I298" s="3"/>
      <c r="L298" s="22"/>
      <c r="M298" s="19"/>
      <c r="Q298" s="21"/>
    </row>
    <row r="299" spans="1:17" hidden="1" x14ac:dyDescent="0.25">
      <c r="A299" s="15"/>
      <c r="B299" s="632" t="s">
        <v>38</v>
      </c>
      <c r="C299" s="628">
        <v>0</v>
      </c>
      <c r="D299" s="629">
        <v>0</v>
      </c>
      <c r="E299" s="628">
        <v>0</v>
      </c>
      <c r="F299" s="629">
        <v>0</v>
      </c>
      <c r="G299" s="628">
        <v>0</v>
      </c>
      <c r="H299" s="629">
        <v>0</v>
      </c>
      <c r="I299" s="3"/>
      <c r="L299" s="22"/>
      <c r="M299" s="19"/>
      <c r="Q299" s="21"/>
    </row>
    <row r="300" spans="1:17" hidden="1" x14ac:dyDescent="0.25">
      <c r="A300" s="15"/>
      <c r="B300" s="632" t="s">
        <v>39</v>
      </c>
      <c r="C300" s="628">
        <v>0</v>
      </c>
      <c r="D300" s="629">
        <v>0</v>
      </c>
      <c r="E300" s="628">
        <v>0</v>
      </c>
      <c r="F300" s="629">
        <v>0</v>
      </c>
      <c r="G300" s="628">
        <v>0</v>
      </c>
      <c r="H300" s="629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632" t="s">
        <v>40</v>
      </c>
      <c r="C301" s="628">
        <v>0</v>
      </c>
      <c r="D301" s="629">
        <v>0</v>
      </c>
      <c r="E301" s="628">
        <v>0</v>
      </c>
      <c r="F301" s="629">
        <v>0</v>
      </c>
      <c r="G301" s="628">
        <v>0</v>
      </c>
      <c r="H301" s="629">
        <v>0</v>
      </c>
      <c r="I301" s="3"/>
      <c r="L301" s="22"/>
      <c r="M301" s="19"/>
      <c r="Q301" s="19"/>
    </row>
    <row r="302" spans="1:17" hidden="1" x14ac:dyDescent="0.25">
      <c r="A302" s="15"/>
      <c r="B302" s="632" t="s">
        <v>60</v>
      </c>
      <c r="C302" s="628">
        <v>0</v>
      </c>
      <c r="D302" s="629">
        <v>0</v>
      </c>
      <c r="E302" s="628">
        <v>0</v>
      </c>
      <c r="F302" s="629">
        <v>0</v>
      </c>
      <c r="G302" s="628">
        <v>0</v>
      </c>
      <c r="H302" s="629">
        <v>0</v>
      </c>
      <c r="I302" s="3"/>
      <c r="L302" s="22"/>
      <c r="M302" s="19"/>
      <c r="Q302" s="19"/>
    </row>
    <row r="303" spans="1:17" x14ac:dyDescent="0.25">
      <c r="A303" s="15"/>
      <c r="B303" s="633" t="s">
        <v>6</v>
      </c>
      <c r="C303" s="630">
        <f t="shared" ref="C303:H303" si="10">SUM(C291:C302)</f>
        <v>1387</v>
      </c>
      <c r="D303" s="631">
        <f t="shared" si="10"/>
        <v>12683.752999999999</v>
      </c>
      <c r="E303" s="630">
        <f t="shared" si="10"/>
        <v>766</v>
      </c>
      <c r="F303" s="631">
        <f t="shared" si="10"/>
        <v>17312.620575069999</v>
      </c>
      <c r="G303" s="630">
        <f t="shared" si="10"/>
        <v>2153</v>
      </c>
      <c r="H303" s="631">
        <f t="shared" si="10"/>
        <v>29996.37357507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74" t="s">
        <v>296</v>
      </c>
      <c r="C304" s="674"/>
      <c r="D304" s="674"/>
      <c r="E304" s="674"/>
      <c r="F304" s="29"/>
      <c r="G304" s="13"/>
      <c r="H304" s="36"/>
      <c r="I304" s="29"/>
      <c r="J304" s="3"/>
    </row>
    <row r="305" spans="1:16" ht="15" customHeight="1" x14ac:dyDescent="0.25">
      <c r="A305" s="15"/>
      <c r="B305" s="674"/>
      <c r="C305" s="674"/>
      <c r="D305" s="674"/>
      <c r="E305" s="674"/>
      <c r="J305" s="3"/>
    </row>
    <row r="306" spans="1:16" ht="45" customHeight="1" x14ac:dyDescent="0.25">
      <c r="A306" s="15"/>
      <c r="B306" s="674"/>
      <c r="C306" s="674"/>
      <c r="D306" s="674"/>
      <c r="E306" s="674"/>
      <c r="J306" s="14"/>
      <c r="N306" s="22"/>
      <c r="O306" s="22"/>
      <c r="P306" s="22"/>
    </row>
    <row r="307" spans="1:16" ht="17.25" customHeight="1" x14ac:dyDescent="0.25">
      <c r="A307" s="15"/>
      <c r="B307" s="420"/>
      <c r="C307" s="398"/>
      <c r="D307" s="398"/>
      <c r="E307" s="420"/>
      <c r="J307" s="14"/>
      <c r="N307" s="22"/>
      <c r="O307" s="22"/>
      <c r="P307" s="22"/>
    </row>
    <row r="308" spans="1:16" ht="15.75" customHeight="1" x14ac:dyDescent="0.25">
      <c r="A308" s="15"/>
      <c r="B308" s="420"/>
      <c r="C308" s="420"/>
      <c r="D308" s="420"/>
      <c r="E308" s="420"/>
      <c r="J308" s="14"/>
      <c r="N308" s="22"/>
      <c r="O308" s="22"/>
      <c r="P308" s="22"/>
    </row>
    <row r="309" spans="1:16" ht="17.25" hidden="1" customHeight="1" x14ac:dyDescent="0.25">
      <c r="A309" s="15"/>
      <c r="B309" s="420"/>
      <c r="C309" s="420"/>
      <c r="D309" s="420"/>
      <c r="E309" s="420"/>
      <c r="J309" s="14"/>
      <c r="N309" s="22"/>
      <c r="O309" s="22"/>
      <c r="P309" s="22"/>
    </row>
    <row r="310" spans="1:16" ht="17.25" customHeight="1" x14ac:dyDescent="0.25">
      <c r="A310" s="15"/>
      <c r="B310" s="420"/>
      <c r="C310" s="398"/>
      <c r="D310" s="398"/>
      <c r="E310" s="420"/>
      <c r="J310" s="14"/>
      <c r="N310" s="22"/>
      <c r="O310" s="22"/>
      <c r="P310" s="22"/>
    </row>
    <row r="311" spans="1:16" ht="15" customHeight="1" x14ac:dyDescent="0.25">
      <c r="A311" s="15"/>
      <c r="B311" s="399"/>
      <c r="C311" s="400"/>
      <c r="D311" s="400"/>
      <c r="E311" s="401"/>
      <c r="G311" s="19"/>
      <c r="N311" s="22"/>
      <c r="O311" s="22"/>
      <c r="P311" s="22"/>
    </row>
    <row r="312" spans="1:16" ht="26.25" customHeight="1" x14ac:dyDescent="0.25">
      <c r="A312" s="15"/>
      <c r="B312" s="664" t="s">
        <v>170</v>
      </c>
      <c r="C312" s="664"/>
      <c r="D312" s="440"/>
      <c r="E312" s="402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4" t="s">
        <v>28</v>
      </c>
      <c r="C314" s="368" t="s">
        <v>3</v>
      </c>
      <c r="D314" s="422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9" t="s">
        <v>59</v>
      </c>
      <c r="C315" s="367">
        <v>10</v>
      </c>
      <c r="D315" s="371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9" t="s">
        <v>32</v>
      </c>
      <c r="C316" s="367">
        <v>9</v>
      </c>
      <c r="D316" s="371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9" t="s">
        <v>33</v>
      </c>
      <c r="C317" s="367">
        <v>71</v>
      </c>
      <c r="D317" s="371">
        <v>633935000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419" t="s">
        <v>34</v>
      </c>
      <c r="C318" s="367">
        <v>8</v>
      </c>
      <c r="D318" s="371">
        <v>73353000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419" t="s">
        <v>35</v>
      </c>
      <c r="C319" s="367">
        <v>0</v>
      </c>
      <c r="D319" s="371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419" t="s">
        <v>31</v>
      </c>
      <c r="C320" s="367">
        <v>0</v>
      </c>
      <c r="D320" s="371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419" t="s">
        <v>36</v>
      </c>
      <c r="C321" s="367">
        <v>0</v>
      </c>
      <c r="D321" s="371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419" t="s">
        <v>37</v>
      </c>
      <c r="C322" s="367">
        <v>0</v>
      </c>
      <c r="D322" s="371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19" t="s">
        <v>38</v>
      </c>
      <c r="C323" s="367">
        <v>0</v>
      </c>
      <c r="D323" s="371">
        <v>0</v>
      </c>
      <c r="E323" s="297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9" t="s">
        <v>39</v>
      </c>
      <c r="C324" s="367">
        <v>0</v>
      </c>
      <c r="D324" s="371">
        <v>0</v>
      </c>
      <c r="E324" s="297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9" t="s">
        <v>40</v>
      </c>
      <c r="C325" s="367">
        <v>0</v>
      </c>
      <c r="D325" s="371">
        <v>0</v>
      </c>
      <c r="E325" s="297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9" t="s">
        <v>60</v>
      </c>
      <c r="C326" s="367">
        <v>0</v>
      </c>
      <c r="D326" s="371">
        <v>0</v>
      </c>
      <c r="E326" s="297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3"/>
      <c r="D327" s="371"/>
      <c r="E327" s="297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8" t="s">
        <v>6</v>
      </c>
      <c r="C328" s="421">
        <f>SUM(C315:C327)</f>
        <v>98</v>
      </c>
      <c r="D328" s="433">
        <f>SUM(D315:D327)</f>
        <v>878435000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49" t="s">
        <v>281</v>
      </c>
      <c r="C329" s="385"/>
      <c r="D329" s="551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74" t="s">
        <v>93</v>
      </c>
      <c r="C330" s="674"/>
      <c r="D330" s="674"/>
      <c r="E330" s="674"/>
      <c r="J330" s="18"/>
      <c r="N330" s="22"/>
      <c r="O330" s="22"/>
      <c r="P330" s="22"/>
    </row>
    <row r="331" spans="1:17" ht="15" customHeight="1" x14ac:dyDescent="0.25">
      <c r="A331" s="15"/>
      <c r="B331" s="674"/>
      <c r="C331" s="674"/>
      <c r="D331" s="674"/>
      <c r="E331" s="674"/>
      <c r="J331" s="18"/>
      <c r="N331" s="22"/>
      <c r="O331" s="22"/>
      <c r="P331" s="22"/>
    </row>
    <row r="332" spans="1:17" ht="15.75" customHeight="1" x14ac:dyDescent="0.25">
      <c r="B332" s="674"/>
      <c r="C332" s="674"/>
      <c r="D332" s="674"/>
      <c r="E332" s="674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38"/>
      <c r="C333" s="438"/>
      <c r="D333" s="438"/>
      <c r="E333" s="438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38"/>
      <c r="C334" s="438"/>
      <c r="D334" s="438"/>
      <c r="E334" s="575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38"/>
      <c r="C335" s="438"/>
      <c r="D335" s="438"/>
      <c r="E335" s="438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38"/>
      <c r="C336" s="438"/>
      <c r="D336" s="438"/>
      <c r="E336" s="438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64" t="s">
        <v>187</v>
      </c>
      <c r="C337" s="664"/>
      <c r="D337" s="664"/>
      <c r="E337" s="664"/>
      <c r="F337" s="25"/>
      <c r="G337" s="83"/>
      <c r="M337" s="294"/>
      <c r="Q337" s="23"/>
      <c r="R337" s="23"/>
      <c r="S337" s="23"/>
      <c r="T337" s="23"/>
      <c r="U337" s="23"/>
      <c r="V337" s="23"/>
      <c r="W337" s="182"/>
    </row>
    <row r="338" spans="1:25" ht="15.75" customHeight="1" x14ac:dyDescent="0.25">
      <c r="A338" s="26"/>
      <c r="B338" s="384"/>
      <c r="C338" s="385"/>
      <c r="D338" s="385"/>
      <c r="M338" s="294"/>
      <c r="Q338" s="696"/>
      <c r="R338" s="91"/>
      <c r="S338" s="91"/>
      <c r="T338" s="91"/>
      <c r="U338" s="91"/>
      <c r="V338" s="91"/>
      <c r="W338" s="182"/>
      <c r="X338" s="697"/>
      <c r="Y338" s="697"/>
    </row>
    <row r="339" spans="1:25" ht="15.75" customHeight="1" x14ac:dyDescent="0.25">
      <c r="A339" s="15"/>
      <c r="C339" s="656" t="s">
        <v>437</v>
      </c>
      <c r="D339" s="703"/>
      <c r="E339" s="703"/>
      <c r="F339" s="703"/>
      <c r="G339" s="703"/>
      <c r="H339" s="657"/>
      <c r="J339" s="2"/>
      <c r="K339" s="704" t="s">
        <v>438</v>
      </c>
      <c r="L339" s="705"/>
      <c r="M339" s="705"/>
      <c r="N339" s="706"/>
      <c r="O339" s="95"/>
      <c r="Q339" s="696"/>
      <c r="R339" s="91"/>
      <c r="S339" s="91"/>
      <c r="T339" s="91"/>
      <c r="U339" s="91"/>
      <c r="V339" s="91"/>
      <c r="W339" s="234"/>
      <c r="X339" s="235"/>
      <c r="Y339" s="235"/>
    </row>
    <row r="340" spans="1:25" s="29" customFormat="1" ht="24.65" customHeight="1" x14ac:dyDescent="0.25">
      <c r="A340" s="41"/>
      <c r="B340" s="297"/>
      <c r="C340" s="692" t="s">
        <v>441</v>
      </c>
      <c r="D340" s="693"/>
      <c r="E340" s="693"/>
      <c r="F340" s="701" t="s">
        <v>442</v>
      </c>
      <c r="G340" s="694"/>
      <c r="H340" s="695"/>
      <c r="I340" s="19"/>
      <c r="J340" s="297"/>
      <c r="K340" s="701" t="s">
        <v>439</v>
      </c>
      <c r="L340" s="695"/>
      <c r="M340" s="701" t="s">
        <v>440</v>
      </c>
      <c r="N340" s="695"/>
      <c r="O340" s="95"/>
      <c r="Q340" s="91"/>
      <c r="R340" s="91"/>
      <c r="S340" s="91"/>
      <c r="T340" s="91"/>
      <c r="U340" s="91"/>
      <c r="V340" s="91"/>
      <c r="W340" s="236"/>
      <c r="X340" s="237"/>
      <c r="Y340" s="237"/>
    </row>
    <row r="341" spans="1:25" x14ac:dyDescent="0.25">
      <c r="A341" s="15"/>
      <c r="B341" s="366" t="s">
        <v>42</v>
      </c>
      <c r="C341" s="366" t="s">
        <v>246</v>
      </c>
      <c r="D341" s="366" t="s">
        <v>43</v>
      </c>
      <c r="E341" s="478" t="s">
        <v>245</v>
      </c>
      <c r="F341" s="35" t="s">
        <v>30</v>
      </c>
      <c r="G341" s="35" t="s">
        <v>43</v>
      </c>
      <c r="H341" s="150" t="s">
        <v>245</v>
      </c>
      <c r="J341" s="366" t="s">
        <v>42</v>
      </c>
      <c r="K341" s="366" t="s">
        <v>172</v>
      </c>
      <c r="L341" s="366" t="s">
        <v>43</v>
      </c>
      <c r="M341" s="366" t="s">
        <v>30</v>
      </c>
      <c r="N341" s="556" t="s">
        <v>43</v>
      </c>
      <c r="O341" s="95"/>
      <c r="P341" s="92"/>
      <c r="Q341" s="92"/>
      <c r="R341" s="92"/>
      <c r="S341" s="92"/>
      <c r="T341" s="92"/>
      <c r="U341" s="92"/>
      <c r="V341" s="238"/>
      <c r="W341" s="239"/>
      <c r="X341" s="240"/>
    </row>
    <row r="342" spans="1:25" s="36" customFormat="1" x14ac:dyDescent="0.25">
      <c r="A342" s="34"/>
      <c r="B342" s="505" t="s">
        <v>44</v>
      </c>
      <c r="C342" s="506">
        <v>515</v>
      </c>
      <c r="D342" s="597">
        <f>5197060244.77/1000000</f>
        <v>5197.0602447700003</v>
      </c>
      <c r="E342" s="507">
        <f>C342/$C$367</f>
        <v>0.23920111472364142</v>
      </c>
      <c r="F342" s="506">
        <v>813</v>
      </c>
      <c r="G342" s="597">
        <f>7794789621.16/1000000</f>
        <v>7794.78962116</v>
      </c>
      <c r="H342" s="507">
        <f t="shared" ref="H342:H366" si="11">F342/$F$367</f>
        <v>0.23436148746036323</v>
      </c>
      <c r="J342" s="505" t="s">
        <v>44</v>
      </c>
      <c r="K342" s="506">
        <v>582</v>
      </c>
      <c r="L342" s="597">
        <f>6074321645.01/1000000</f>
        <v>6074.3216450099999</v>
      </c>
      <c r="M342" s="506">
        <v>611</v>
      </c>
      <c r="N342" s="602">
        <f>5941944416/1000000</f>
        <v>5941.9444160000003</v>
      </c>
      <c r="P342" s="93"/>
      <c r="Q342" s="93"/>
      <c r="R342" s="93"/>
      <c r="S342" s="93"/>
      <c r="T342" s="93"/>
      <c r="U342" s="93"/>
      <c r="V342" s="241"/>
      <c r="W342" s="242"/>
      <c r="X342" s="243"/>
      <c r="Y342" s="148"/>
    </row>
    <row r="343" spans="1:25" s="36" customFormat="1" x14ac:dyDescent="0.25">
      <c r="A343" s="34"/>
      <c r="B343" s="505" t="s">
        <v>45</v>
      </c>
      <c r="C343" s="506">
        <v>720</v>
      </c>
      <c r="D343" s="597">
        <f>11983130353.39/1000000</f>
        <v>11983.130353389999</v>
      </c>
      <c r="E343" s="507">
        <f>C343/$C$367</f>
        <v>0.33441709242916862</v>
      </c>
      <c r="F343" s="506">
        <v>921</v>
      </c>
      <c r="G343" s="597">
        <f>13133192028.48/1000000</f>
        <v>13133.19202848</v>
      </c>
      <c r="H343" s="507">
        <f t="shared" si="11"/>
        <v>0.26549437878351112</v>
      </c>
      <c r="J343" s="505" t="s">
        <v>45</v>
      </c>
      <c r="K343" s="506">
        <v>347</v>
      </c>
      <c r="L343" s="597">
        <f>5478874359.25/1000000</f>
        <v>5478.8743592500005</v>
      </c>
      <c r="M343" s="506">
        <v>805</v>
      </c>
      <c r="N343" s="602">
        <f>11140882516.41/1000000</f>
        <v>11140.88251641</v>
      </c>
      <c r="P343" s="93"/>
      <c r="Q343" s="93"/>
      <c r="R343" s="93"/>
      <c r="S343" s="93"/>
      <c r="T343" s="93"/>
      <c r="U343" s="93"/>
      <c r="V343" s="241"/>
      <c r="W343" s="242"/>
      <c r="X343" s="243"/>
      <c r="Y343" s="148"/>
    </row>
    <row r="344" spans="1:25" s="36" customFormat="1" x14ac:dyDescent="0.25">
      <c r="A344" s="34"/>
      <c r="B344" s="505" t="s">
        <v>46</v>
      </c>
      <c r="C344" s="506">
        <v>16</v>
      </c>
      <c r="D344" s="597">
        <f>320437187.24/1000000</f>
        <v>320.43718724000001</v>
      </c>
      <c r="E344" s="507">
        <f t="shared" ref="E344:E366" si="12">C344/$C$367</f>
        <v>7.4314909428704135E-3</v>
      </c>
      <c r="F344" s="506">
        <v>10</v>
      </c>
      <c r="G344" s="597">
        <f>205518258.7/1000000</f>
        <v>205.51825869999999</v>
      </c>
      <c r="H344" s="507">
        <f>F344/$F$367</f>
        <v>2.8826751225136927E-3</v>
      </c>
      <c r="J344" s="505" t="s">
        <v>46</v>
      </c>
      <c r="K344" s="506">
        <v>19</v>
      </c>
      <c r="L344" s="597">
        <f>349432621.95/1000000</f>
        <v>349.43262195</v>
      </c>
      <c r="M344" s="506">
        <v>17</v>
      </c>
      <c r="N344" s="602">
        <f>246121456.75/1000000</f>
        <v>246.12145674999999</v>
      </c>
      <c r="O344" s="93"/>
      <c r="P344" s="93"/>
      <c r="Q344" s="93"/>
      <c r="R344" s="93"/>
      <c r="S344" s="93"/>
      <c r="T344" s="93"/>
      <c r="U344" s="93"/>
      <c r="V344" s="241"/>
      <c r="W344" s="242"/>
      <c r="X344" s="243"/>
      <c r="Y344" s="148"/>
    </row>
    <row r="345" spans="1:25" s="36" customFormat="1" x14ac:dyDescent="0.25">
      <c r="A345" s="34"/>
      <c r="B345" s="505" t="s">
        <v>47</v>
      </c>
      <c r="C345" s="506">
        <v>111</v>
      </c>
      <c r="D345" s="597">
        <f>1894315959.54/1000000</f>
        <v>1894.31595954</v>
      </c>
      <c r="E345" s="507">
        <f t="shared" si="12"/>
        <v>5.1555968416163493E-2</v>
      </c>
      <c r="F345" s="506">
        <v>148</v>
      </c>
      <c r="G345" s="597">
        <f>2222438464.55/1000000</f>
        <v>2222.4384645500004</v>
      </c>
      <c r="H345" s="507">
        <f t="shared" si="11"/>
        <v>4.2663591813202652E-2</v>
      </c>
      <c r="J345" s="505" t="s">
        <v>47</v>
      </c>
      <c r="K345" s="506">
        <v>29</v>
      </c>
      <c r="L345" s="597">
        <f>287083265.24/1000000</f>
        <v>287.08326524</v>
      </c>
      <c r="M345" s="506">
        <v>105</v>
      </c>
      <c r="N345" s="602">
        <f>1662955306.89/1000000</f>
        <v>1662.9553068900002</v>
      </c>
      <c r="O345" s="95"/>
      <c r="P345" s="95"/>
      <c r="Q345" s="95"/>
      <c r="R345" s="95"/>
      <c r="S345" s="95"/>
      <c r="T345" s="95"/>
      <c r="U345" s="95"/>
      <c r="V345" s="241"/>
      <c r="W345" s="242"/>
      <c r="X345" s="243"/>
      <c r="Y345" s="148"/>
    </row>
    <row r="346" spans="1:25" s="36" customFormat="1" x14ac:dyDescent="0.25">
      <c r="A346" s="34"/>
      <c r="B346" s="505" t="s">
        <v>48</v>
      </c>
      <c r="C346" s="506">
        <v>13</v>
      </c>
      <c r="D346" s="597">
        <f>106797000/1000000</f>
        <v>106.797</v>
      </c>
      <c r="E346" s="507">
        <f t="shared" si="12"/>
        <v>6.0380863910822107E-3</v>
      </c>
      <c r="F346" s="506">
        <v>10</v>
      </c>
      <c r="G346" s="597">
        <f>81358000/1000000</f>
        <v>81.358000000000004</v>
      </c>
      <c r="H346" s="507">
        <f t="shared" si="11"/>
        <v>2.8826751225136927E-3</v>
      </c>
      <c r="J346" s="505" t="s">
        <v>48</v>
      </c>
      <c r="K346" s="506">
        <v>9</v>
      </c>
      <c r="L346" s="597">
        <f>72847000/1000000</f>
        <v>72.846999999999994</v>
      </c>
      <c r="M346" s="506">
        <v>13</v>
      </c>
      <c r="N346" s="602">
        <f>102507000/1000000</f>
        <v>102.50700000000001</v>
      </c>
      <c r="O346" s="95"/>
      <c r="P346" s="95"/>
      <c r="Q346" s="95"/>
      <c r="R346" s="95"/>
      <c r="S346" s="95"/>
      <c r="T346" s="95"/>
      <c r="U346" s="95"/>
      <c r="V346" s="241"/>
      <c r="W346" s="242"/>
      <c r="X346" s="243"/>
      <c r="Y346" s="148"/>
    </row>
    <row r="347" spans="1:25" s="36" customFormat="1" x14ac:dyDescent="0.25">
      <c r="A347" s="34"/>
      <c r="B347" s="505" t="s">
        <v>49</v>
      </c>
      <c r="C347" s="506">
        <v>83</v>
      </c>
      <c r="D347" s="597">
        <f>679158000/1000000</f>
        <v>679.15800000000002</v>
      </c>
      <c r="E347" s="507">
        <f t="shared" si="12"/>
        <v>3.8550859266140269E-2</v>
      </c>
      <c r="F347" s="506">
        <v>97</v>
      </c>
      <c r="G347" s="597">
        <f>875339684.64/1000000</f>
        <v>875.33968463999997</v>
      </c>
      <c r="H347" s="507">
        <f t="shared" si="11"/>
        <v>2.796194868838282E-2</v>
      </c>
      <c r="J347" s="505" t="s">
        <v>49</v>
      </c>
      <c r="K347" s="506">
        <v>55</v>
      </c>
      <c r="L347" s="597">
        <f>482700684.49/1000000</f>
        <v>482.70068449000001</v>
      </c>
      <c r="M347" s="506">
        <v>61</v>
      </c>
      <c r="N347" s="602">
        <f>540492108.52/1000000</f>
        <v>540.49210851999999</v>
      </c>
      <c r="O347" s="93"/>
      <c r="P347" s="93"/>
      <c r="Q347" s="93"/>
      <c r="R347" s="93"/>
      <c r="S347" s="93"/>
      <c r="T347" s="93"/>
      <c r="U347" s="93"/>
      <c r="V347" s="241"/>
      <c r="W347" s="242"/>
      <c r="X347" s="243"/>
      <c r="Y347" s="148"/>
    </row>
    <row r="348" spans="1:25" s="36" customFormat="1" x14ac:dyDescent="0.25">
      <c r="A348" s="34"/>
      <c r="B348" s="505" t="s">
        <v>92</v>
      </c>
      <c r="C348" s="506">
        <v>144</v>
      </c>
      <c r="D348" s="597">
        <f>1594779719.28/10000000</f>
        <v>159.47797192799999</v>
      </c>
      <c r="E348" s="507">
        <f t="shared" si="12"/>
        <v>6.6883418485833721E-2</v>
      </c>
      <c r="F348" s="506">
        <v>306</v>
      </c>
      <c r="G348" s="597">
        <f>3209462990.65/1000000</f>
        <v>3209.4629906499999</v>
      </c>
      <c r="H348" s="507">
        <f t="shared" si="11"/>
        <v>8.8209858748918998E-2</v>
      </c>
      <c r="J348" s="505" t="s">
        <v>92</v>
      </c>
      <c r="K348" s="506">
        <v>89</v>
      </c>
      <c r="L348" s="597">
        <f>1094741771.95/1000000</f>
        <v>1094.7417719500002</v>
      </c>
      <c r="M348" s="506">
        <v>151</v>
      </c>
      <c r="N348" s="602">
        <f>1742527546.16/1000000</f>
        <v>1742.5275461600002</v>
      </c>
      <c r="O348" s="93"/>
      <c r="P348" s="93"/>
      <c r="Q348" s="93"/>
      <c r="R348" s="93"/>
      <c r="S348" s="93"/>
      <c r="T348" s="93"/>
      <c r="U348" s="93"/>
      <c r="V348" s="241"/>
      <c r="W348" s="242"/>
      <c r="X348" s="243"/>
      <c r="Y348" s="148"/>
    </row>
    <row r="349" spans="1:25" s="36" customFormat="1" x14ac:dyDescent="0.25">
      <c r="A349" s="34"/>
      <c r="B349" s="505" t="s">
        <v>188</v>
      </c>
      <c r="C349" s="506">
        <v>129</v>
      </c>
      <c r="D349" s="597">
        <f>2218720290.85/1000000</f>
        <v>2218.7202908499999</v>
      </c>
      <c r="E349" s="507">
        <f t="shared" si="12"/>
        <v>5.991639572689271E-2</v>
      </c>
      <c r="F349" s="506">
        <v>191</v>
      </c>
      <c r="G349" s="597">
        <f>3134610440.49/1000000</f>
        <v>3134.6104404899997</v>
      </c>
      <c r="H349" s="507">
        <f t="shared" si="11"/>
        <v>5.5059094840011528E-2</v>
      </c>
      <c r="J349" s="505" t="s">
        <v>188</v>
      </c>
      <c r="K349" s="506">
        <v>89</v>
      </c>
      <c r="L349" s="597">
        <f>1105172455.67/1000000</f>
        <v>1105.1724556700001</v>
      </c>
      <c r="M349" s="506">
        <v>246</v>
      </c>
      <c r="N349" s="602">
        <f>3298154306.2/1000000</f>
        <v>3298.1543061999996</v>
      </c>
      <c r="O349" s="93"/>
      <c r="P349" s="93"/>
      <c r="Q349" s="93"/>
      <c r="R349" s="93"/>
      <c r="S349" s="93"/>
      <c r="T349" s="93"/>
      <c r="U349" s="93"/>
      <c r="V349" s="241"/>
      <c r="W349" s="242"/>
      <c r="X349" s="243"/>
      <c r="Y349" s="148"/>
    </row>
    <row r="350" spans="1:25" s="36" customFormat="1" x14ac:dyDescent="0.25">
      <c r="A350" s="34"/>
      <c r="B350" s="505" t="s">
        <v>50</v>
      </c>
      <c r="C350" s="506">
        <v>121</v>
      </c>
      <c r="D350" s="597">
        <f>2516504064.34/1000000</f>
        <v>2516.5040643400002</v>
      </c>
      <c r="E350" s="507">
        <f t="shared" si="12"/>
        <v>5.62006502554575E-2</v>
      </c>
      <c r="F350" s="506">
        <v>191</v>
      </c>
      <c r="G350" s="597">
        <f>1935628778.93/1000000</f>
        <v>1935.62877893</v>
      </c>
      <c r="H350" s="507">
        <f t="shared" si="11"/>
        <v>5.5059094840011528E-2</v>
      </c>
      <c r="J350" s="505" t="s">
        <v>50</v>
      </c>
      <c r="K350" s="506">
        <v>97</v>
      </c>
      <c r="L350" s="597">
        <f>1379003020.82/1000000</f>
        <v>1379.0030208199998</v>
      </c>
      <c r="M350" s="506">
        <v>189</v>
      </c>
      <c r="N350" s="602">
        <f>2521141403.7/1000000</f>
        <v>2521.1414037</v>
      </c>
      <c r="O350" s="93"/>
      <c r="P350" s="93"/>
      <c r="Q350" s="93"/>
      <c r="R350" s="93"/>
      <c r="S350" s="93"/>
      <c r="T350" s="93"/>
      <c r="U350" s="93"/>
      <c r="V350" s="241"/>
      <c r="W350" s="242"/>
      <c r="X350" s="243"/>
      <c r="Y350" s="148"/>
    </row>
    <row r="351" spans="1:25" s="36" customFormat="1" x14ac:dyDescent="0.25">
      <c r="A351" s="34"/>
      <c r="B351" s="505" t="s">
        <v>189</v>
      </c>
      <c r="C351" s="506">
        <v>65</v>
      </c>
      <c r="D351" s="597">
        <f>879753409.68/1000000</f>
        <v>879.75340968</v>
      </c>
      <c r="E351" s="507">
        <f t="shared" si="12"/>
        <v>3.0190431955411056E-2</v>
      </c>
      <c r="F351" s="506">
        <v>121</v>
      </c>
      <c r="G351" s="597">
        <f>1390066694.26/1000000</f>
        <v>1390.0666942600001</v>
      </c>
      <c r="H351" s="507">
        <f t="shared" si="11"/>
        <v>3.4880368982415678E-2</v>
      </c>
      <c r="J351" s="505" t="s">
        <v>189</v>
      </c>
      <c r="K351" s="506">
        <v>36</v>
      </c>
      <c r="L351" s="597">
        <f>441074497.1/1000000</f>
        <v>441.07449710000003</v>
      </c>
      <c r="M351" s="506">
        <v>99</v>
      </c>
      <c r="N351" s="602">
        <f>965380024.01/1000000</f>
        <v>965.38002400999994</v>
      </c>
      <c r="O351" s="93"/>
      <c r="P351" s="93"/>
      <c r="Q351" s="93"/>
      <c r="R351" s="93"/>
      <c r="S351" s="93"/>
      <c r="T351" s="93"/>
      <c r="U351" s="93"/>
      <c r="V351" s="241"/>
      <c r="W351" s="242"/>
      <c r="X351" s="243"/>
      <c r="Y351" s="148"/>
    </row>
    <row r="352" spans="1:25" s="36" customFormat="1" x14ac:dyDescent="0.25">
      <c r="A352" s="34"/>
      <c r="B352" s="505" t="s">
        <v>190</v>
      </c>
      <c r="C352" s="506">
        <v>0</v>
      </c>
      <c r="D352" s="557">
        <v>0</v>
      </c>
      <c r="E352" s="507">
        <f t="shared" si="12"/>
        <v>0</v>
      </c>
      <c r="F352" s="506">
        <v>0</v>
      </c>
      <c r="G352" s="597">
        <v>0</v>
      </c>
      <c r="H352" s="507">
        <f t="shared" si="11"/>
        <v>0</v>
      </c>
      <c r="J352" s="505" t="s">
        <v>190</v>
      </c>
      <c r="K352" s="506">
        <v>83</v>
      </c>
      <c r="L352" s="597">
        <f>850399127.19/1000000</f>
        <v>850.39912719000006</v>
      </c>
      <c r="M352" s="506">
        <v>36</v>
      </c>
      <c r="N352" s="602">
        <f>332862028.53/1000000</f>
        <v>332.86202852999998</v>
      </c>
      <c r="O352" s="93"/>
      <c r="P352" s="93"/>
      <c r="Q352" s="93"/>
      <c r="R352" s="93"/>
      <c r="S352" s="93"/>
      <c r="T352" s="93"/>
      <c r="U352" s="93"/>
      <c r="V352" s="241"/>
      <c r="W352" s="242"/>
      <c r="X352" s="243"/>
      <c r="Y352" s="148"/>
    </row>
    <row r="353" spans="1:17" s="36" customFormat="1" x14ac:dyDescent="0.25">
      <c r="A353" s="34"/>
      <c r="B353" s="505" t="s">
        <v>61</v>
      </c>
      <c r="C353" s="506">
        <v>8</v>
      </c>
      <c r="D353" s="597">
        <f>71129000/1000000</f>
        <v>71.129000000000005</v>
      </c>
      <c r="E353" s="507">
        <f t="shared" si="12"/>
        <v>3.7157454714352067E-3</v>
      </c>
      <c r="F353" s="506">
        <v>11</v>
      </c>
      <c r="G353" s="597">
        <f>124267783.77/1000000</f>
        <v>124.26778376999999</v>
      </c>
      <c r="H353" s="507">
        <f t="shared" si="11"/>
        <v>3.1709426347650621E-3</v>
      </c>
      <c r="J353" s="505" t="s">
        <v>61</v>
      </c>
      <c r="K353" s="506">
        <v>5</v>
      </c>
      <c r="L353" s="597">
        <f>51150000/1000000</f>
        <v>51.15</v>
      </c>
      <c r="M353" s="506">
        <v>6</v>
      </c>
      <c r="N353" s="558">
        <f>50655000/1000000</f>
        <v>50.655000000000001</v>
      </c>
      <c r="O353" s="93"/>
      <c r="P353" s="93"/>
      <c r="Q353" s="93"/>
    </row>
    <row r="354" spans="1:17" s="36" customFormat="1" x14ac:dyDescent="0.25">
      <c r="A354" s="34"/>
      <c r="B354" s="505" t="s">
        <v>191</v>
      </c>
      <c r="C354" s="506">
        <v>4</v>
      </c>
      <c r="D354" s="597">
        <f>37193000/1000000</f>
        <v>37.192999999999998</v>
      </c>
      <c r="E354" s="507">
        <f t="shared" si="12"/>
        <v>1.8578727357176034E-3</v>
      </c>
      <c r="F354" s="506">
        <v>12</v>
      </c>
      <c r="G354" s="597">
        <f>119836000/1000000</f>
        <v>119.836</v>
      </c>
      <c r="H354" s="507">
        <f t="shared" si="11"/>
        <v>3.459210147016431E-3</v>
      </c>
      <c r="J354" s="505" t="s">
        <v>191</v>
      </c>
      <c r="K354" s="506">
        <v>4</v>
      </c>
      <c r="L354" s="597">
        <f>34601000/1000000</f>
        <v>34.600999999999999</v>
      </c>
      <c r="M354" s="506">
        <v>23</v>
      </c>
      <c r="N354" s="602">
        <f>195607000/1000000</f>
        <v>195.607</v>
      </c>
      <c r="O354" s="93"/>
      <c r="P354" s="357"/>
      <c r="Q354" s="93"/>
    </row>
    <row r="355" spans="1:17" s="36" customFormat="1" x14ac:dyDescent="0.25">
      <c r="A355" s="34"/>
      <c r="B355" s="505" t="s">
        <v>192</v>
      </c>
      <c r="C355" s="506">
        <v>24</v>
      </c>
      <c r="D355" s="597">
        <f>227258586.39/1000000</f>
        <v>227.25858638999998</v>
      </c>
      <c r="E355" s="507">
        <f t="shared" si="12"/>
        <v>1.1147236414305621E-2</v>
      </c>
      <c r="F355" s="506">
        <v>147</v>
      </c>
      <c r="G355" s="597">
        <f>1474083533.93/1000000</f>
        <v>1474.0835339300002</v>
      </c>
      <c r="H355" s="507">
        <f t="shared" si="11"/>
        <v>4.2375324300951284E-2</v>
      </c>
      <c r="J355" s="505" t="s">
        <v>192</v>
      </c>
      <c r="K355" s="506">
        <v>27</v>
      </c>
      <c r="L355" s="597">
        <f>287194273.28/1000000</f>
        <v>287.19427327999995</v>
      </c>
      <c r="M355" s="506">
        <v>46</v>
      </c>
      <c r="N355" s="602">
        <f>400691928.1/1000000</f>
        <v>400.69192810000004</v>
      </c>
      <c r="O355" s="93"/>
      <c r="P355" s="357"/>
      <c r="Q355" s="93"/>
    </row>
    <row r="356" spans="1:17" s="36" customFormat="1" x14ac:dyDescent="0.25">
      <c r="A356" s="34"/>
      <c r="B356" s="505" t="s">
        <v>101</v>
      </c>
      <c r="C356" s="506">
        <v>37</v>
      </c>
      <c r="D356" s="597">
        <f>450272141.87/1000000</f>
        <v>450.27214186999998</v>
      </c>
      <c r="E356" s="507">
        <f t="shared" si="12"/>
        <v>1.7185322805387832E-2</v>
      </c>
      <c r="F356" s="506">
        <v>132</v>
      </c>
      <c r="G356" s="597">
        <f>1308732364.45/1000000</f>
        <v>1308.73236445</v>
      </c>
      <c r="H356" s="507">
        <f t="shared" si="11"/>
        <v>3.8051311617180741E-2</v>
      </c>
      <c r="J356" s="505" t="s">
        <v>101</v>
      </c>
      <c r="K356" s="506">
        <v>57</v>
      </c>
      <c r="L356" s="557">
        <f>533413000/1000000</f>
        <v>533.41300000000001</v>
      </c>
      <c r="M356" s="506">
        <v>92</v>
      </c>
      <c r="N356" s="602">
        <f>772193000/1000000</f>
        <v>772.19299999999998</v>
      </c>
      <c r="O356" s="93"/>
      <c r="P356" s="93"/>
      <c r="Q356" s="93"/>
    </row>
    <row r="357" spans="1:17" s="36" customFormat="1" x14ac:dyDescent="0.25">
      <c r="A357" s="34"/>
      <c r="B357" s="505" t="s">
        <v>323</v>
      </c>
      <c r="C357" s="506">
        <v>40</v>
      </c>
      <c r="D357" s="597">
        <f>478324592.88/1000000</f>
        <v>478.32459288000001</v>
      </c>
      <c r="E357" s="507">
        <f t="shared" si="12"/>
        <v>1.8578727357176035E-2</v>
      </c>
      <c r="F357" s="506">
        <v>136</v>
      </c>
      <c r="G357" s="597">
        <f>1389923620.36/1000000</f>
        <v>1389.9236203599999</v>
      </c>
      <c r="H357" s="507">
        <f t="shared" si="11"/>
        <v>3.9204381666186221E-2</v>
      </c>
      <c r="J357" s="505" t="s">
        <v>218</v>
      </c>
      <c r="K357" s="506">
        <v>22</v>
      </c>
      <c r="L357" s="602">
        <f>266184925.17/1000000</f>
        <v>266.18492516999999</v>
      </c>
      <c r="M357" s="506">
        <v>58</v>
      </c>
      <c r="N357" s="602">
        <f>583326847.14/1000000</f>
        <v>583.32684714000004</v>
      </c>
      <c r="O357" s="93"/>
      <c r="P357" s="93"/>
      <c r="Q357" s="93"/>
    </row>
    <row r="358" spans="1:17" s="36" customFormat="1" x14ac:dyDescent="0.25">
      <c r="A358" s="34"/>
      <c r="B358" s="505" t="s">
        <v>209</v>
      </c>
      <c r="C358" s="506">
        <v>1</v>
      </c>
      <c r="D358" s="597">
        <f>9221000/1000000</f>
        <v>9.2210000000000001</v>
      </c>
      <c r="E358" s="507">
        <f t="shared" si="12"/>
        <v>4.6446818392940084E-4</v>
      </c>
      <c r="F358" s="506">
        <v>5</v>
      </c>
      <c r="G358" s="597">
        <f>45701000/1000000</f>
        <v>45.701000000000001</v>
      </c>
      <c r="H358" s="507">
        <f t="shared" si="11"/>
        <v>1.4413375612568463E-3</v>
      </c>
      <c r="J358" s="505" t="s">
        <v>193</v>
      </c>
      <c r="K358" s="506">
        <v>0</v>
      </c>
      <c r="L358" s="557">
        <v>0</v>
      </c>
      <c r="M358" s="506">
        <v>3</v>
      </c>
      <c r="N358" s="602">
        <f>25440000/1000000</f>
        <v>25.44</v>
      </c>
      <c r="P358" s="75"/>
      <c r="Q358" s="75"/>
    </row>
    <row r="359" spans="1:17" s="36" customFormat="1" x14ac:dyDescent="0.25">
      <c r="A359" s="34"/>
      <c r="B359" s="565" t="s">
        <v>319</v>
      </c>
      <c r="C359" s="566">
        <v>0</v>
      </c>
      <c r="D359" s="597">
        <v>0</v>
      </c>
      <c r="E359" s="507">
        <f t="shared" si="12"/>
        <v>0</v>
      </c>
      <c r="F359" s="566">
        <v>4</v>
      </c>
      <c r="G359" s="597">
        <f>36281000/1000000</f>
        <v>36.280999999999999</v>
      </c>
      <c r="H359" s="507">
        <f t="shared" si="11"/>
        <v>1.1530700490054772E-3</v>
      </c>
      <c r="J359" s="565" t="s">
        <v>288</v>
      </c>
      <c r="K359" s="566">
        <v>6</v>
      </c>
      <c r="L359" s="567">
        <f>54086000/1000000</f>
        <v>54.085999999999999</v>
      </c>
      <c r="M359" s="566">
        <v>5</v>
      </c>
      <c r="N359" s="603">
        <f>42364000/1000000</f>
        <v>42.363999999999997</v>
      </c>
      <c r="P359" s="75"/>
      <c r="Q359" s="75"/>
    </row>
    <row r="360" spans="1:17" s="36" customFormat="1" x14ac:dyDescent="0.25">
      <c r="A360" s="34"/>
      <c r="B360" s="505" t="s">
        <v>97</v>
      </c>
      <c r="C360" s="506">
        <v>0</v>
      </c>
      <c r="D360" s="597">
        <v>0</v>
      </c>
      <c r="E360" s="507">
        <f t="shared" si="12"/>
        <v>0</v>
      </c>
      <c r="F360" s="506">
        <v>0</v>
      </c>
      <c r="G360" s="597">
        <v>0</v>
      </c>
      <c r="H360" s="507">
        <f t="shared" si="11"/>
        <v>0</v>
      </c>
      <c r="J360" s="505" t="s">
        <v>97</v>
      </c>
      <c r="K360" s="506">
        <v>2</v>
      </c>
      <c r="L360" s="597">
        <f>36023991.36/1000000</f>
        <v>36.023991359999997</v>
      </c>
      <c r="M360" s="506">
        <v>7</v>
      </c>
      <c r="N360" s="602">
        <f>76313592.46/1000000</f>
        <v>76.313592459999995</v>
      </c>
      <c r="P360" s="75"/>
      <c r="Q360" s="75"/>
    </row>
    <row r="361" spans="1:17" s="36" customFormat="1" x14ac:dyDescent="0.25">
      <c r="A361" s="34"/>
      <c r="B361" s="505" t="s">
        <v>168</v>
      </c>
      <c r="C361" s="506">
        <v>0</v>
      </c>
      <c r="D361" s="597">
        <v>0</v>
      </c>
      <c r="E361" s="507">
        <f t="shared" si="12"/>
        <v>0</v>
      </c>
      <c r="F361" s="506">
        <v>0</v>
      </c>
      <c r="G361" s="597">
        <v>0</v>
      </c>
      <c r="H361" s="507">
        <f t="shared" si="11"/>
        <v>0</v>
      </c>
      <c r="J361" s="505" t="s">
        <v>168</v>
      </c>
      <c r="K361" s="506">
        <v>0</v>
      </c>
      <c r="L361" s="558">
        <v>0</v>
      </c>
      <c r="M361" s="506">
        <v>1</v>
      </c>
      <c r="N361" s="602">
        <f>5605000/1000000</f>
        <v>5.6050000000000004</v>
      </c>
      <c r="P361" s="75"/>
      <c r="Q361" s="75"/>
    </row>
    <row r="362" spans="1:17" s="36" customFormat="1" x14ac:dyDescent="0.25">
      <c r="A362" s="34"/>
      <c r="B362" s="505" t="s">
        <v>207</v>
      </c>
      <c r="C362" s="506">
        <v>0</v>
      </c>
      <c r="D362" s="597">
        <v>0</v>
      </c>
      <c r="E362" s="507">
        <f t="shared" si="12"/>
        <v>0</v>
      </c>
      <c r="F362" s="506">
        <v>0</v>
      </c>
      <c r="G362" s="597">
        <v>0</v>
      </c>
      <c r="H362" s="507">
        <f t="shared" si="11"/>
        <v>0</v>
      </c>
      <c r="J362" s="505" t="s">
        <v>183</v>
      </c>
      <c r="K362" s="506">
        <v>0</v>
      </c>
      <c r="L362" s="557">
        <v>0</v>
      </c>
      <c r="M362" s="506">
        <v>0</v>
      </c>
      <c r="N362" s="558">
        <v>0</v>
      </c>
      <c r="P362" s="94"/>
      <c r="Q362" s="94"/>
    </row>
    <row r="363" spans="1:17" s="36" customFormat="1" x14ac:dyDescent="0.25">
      <c r="A363" s="34"/>
      <c r="B363" s="505" t="s">
        <v>324</v>
      </c>
      <c r="C363" s="506">
        <v>0</v>
      </c>
      <c r="D363" s="597">
        <v>0</v>
      </c>
      <c r="E363" s="507">
        <f t="shared" si="12"/>
        <v>0</v>
      </c>
      <c r="F363" s="506">
        <v>0</v>
      </c>
      <c r="G363" s="597">
        <v>0</v>
      </c>
      <c r="H363" s="507">
        <f t="shared" si="11"/>
        <v>0</v>
      </c>
      <c r="J363" s="505" t="s">
        <v>208</v>
      </c>
      <c r="K363" s="506">
        <v>0</v>
      </c>
      <c r="L363" s="557">
        <v>0</v>
      </c>
      <c r="M363" s="506">
        <v>0</v>
      </c>
      <c r="N363" s="558">
        <v>0</v>
      </c>
      <c r="P363" s="94"/>
      <c r="Q363" s="94"/>
    </row>
    <row r="364" spans="1:17" s="36" customFormat="1" x14ac:dyDescent="0.25">
      <c r="A364" s="34"/>
      <c r="B364" s="505" t="s">
        <v>206</v>
      </c>
      <c r="C364" s="506">
        <v>52</v>
      </c>
      <c r="D364" s="597">
        <f>518317476.27/1000000</f>
        <v>518.31747626999993</v>
      </c>
      <c r="E364" s="507">
        <f t="shared" si="12"/>
        <v>2.4152345564328843E-2</v>
      </c>
      <c r="F364" s="506">
        <v>58</v>
      </c>
      <c r="G364" s="597">
        <f>649672727.25/1000000</f>
        <v>649.67272724999998</v>
      </c>
      <c r="H364" s="507">
        <f t="shared" si="11"/>
        <v>1.6719515710579419E-2</v>
      </c>
      <c r="J364" s="505" t="s">
        <v>206</v>
      </c>
      <c r="K364" s="506">
        <v>29</v>
      </c>
      <c r="L364" s="597">
        <f>326984855.39/1000000</f>
        <v>326.98485539000001</v>
      </c>
      <c r="M364" s="506">
        <v>42</v>
      </c>
      <c r="N364" s="602">
        <f>390576236.42/1000000</f>
        <v>390.57623642000004</v>
      </c>
      <c r="P364" s="94"/>
      <c r="Q364" s="94"/>
    </row>
    <row r="365" spans="1:17" s="36" customFormat="1" x14ac:dyDescent="0.25">
      <c r="A365" s="34"/>
      <c r="B365" s="505" t="s">
        <v>237</v>
      </c>
      <c r="C365" s="506">
        <v>38</v>
      </c>
      <c r="D365" s="597">
        <f>386641520.09/1000000</f>
        <v>386.64152008999997</v>
      </c>
      <c r="E365" s="507">
        <f t="shared" si="12"/>
        <v>1.7649790989317231E-2</v>
      </c>
      <c r="F365" s="506">
        <v>64</v>
      </c>
      <c r="G365" s="597">
        <f>716043538.24/1000000</f>
        <v>716.04353823999998</v>
      </c>
      <c r="H365" s="507">
        <f t="shared" si="11"/>
        <v>1.8449120784087635E-2</v>
      </c>
      <c r="J365" s="505" t="s">
        <v>184</v>
      </c>
      <c r="K365" s="506">
        <v>21</v>
      </c>
      <c r="L365" s="558">
        <f>193436000/1000000</f>
        <v>193.43600000000001</v>
      </c>
      <c r="M365" s="506">
        <v>38</v>
      </c>
      <c r="N365" s="602">
        <f>340847000/1000000</f>
        <v>340.84699999999998</v>
      </c>
      <c r="P365" s="94"/>
      <c r="Q365" s="94"/>
    </row>
    <row r="366" spans="1:17" s="36" customFormat="1" x14ac:dyDescent="0.25">
      <c r="A366" s="34"/>
      <c r="B366" s="505" t="s">
        <v>322</v>
      </c>
      <c r="C366" s="506">
        <v>32</v>
      </c>
      <c r="D366" s="597">
        <f>427360028.48/1000000</f>
        <v>427.36002848000004</v>
      </c>
      <c r="E366" s="507">
        <f t="shared" si="12"/>
        <v>1.4862981885740827E-2</v>
      </c>
      <c r="F366" s="506">
        <v>92</v>
      </c>
      <c r="G366" s="597">
        <f>994673642.98/1000000</f>
        <v>994.67364298000007</v>
      </c>
      <c r="H366" s="507">
        <f t="shared" si="11"/>
        <v>2.6520611127125972E-2</v>
      </c>
      <c r="J366" s="508" t="s">
        <v>51</v>
      </c>
      <c r="K366" s="509">
        <f>SUM(K342:K365)</f>
        <v>1608</v>
      </c>
      <c r="L366" s="488">
        <f>SUM(L342:L365)</f>
        <v>19398.72449387001</v>
      </c>
      <c r="M366" s="509">
        <f>SUM(M342:M365)</f>
        <v>2654</v>
      </c>
      <c r="N366" s="488">
        <f>SUM(N342:N365)</f>
        <v>31378.587717289996</v>
      </c>
      <c r="P366" s="94"/>
      <c r="Q366" s="94"/>
    </row>
    <row r="367" spans="1:17" s="36" customFormat="1" ht="17.149999999999999" customHeight="1" x14ac:dyDescent="0.25">
      <c r="A367" s="34"/>
      <c r="B367" s="508" t="s">
        <v>51</v>
      </c>
      <c r="C367" s="509">
        <f>SUM(C342:C366)</f>
        <v>2153</v>
      </c>
      <c r="D367" s="598">
        <f>SUM(D342:D366)</f>
        <v>28561.071827717999</v>
      </c>
      <c r="E367" s="510">
        <f t="shared" ref="E367:H367" si="13">SUM(E342:E366)</f>
        <v>0.99999999999999989</v>
      </c>
      <c r="F367" s="509">
        <f t="shared" si="13"/>
        <v>3469</v>
      </c>
      <c r="G367" s="598">
        <f>SUM(G342:G366)</f>
        <v>40841.620172840019</v>
      </c>
      <c r="H367" s="510">
        <f t="shared" si="13"/>
        <v>1</v>
      </c>
      <c r="P367" s="75"/>
      <c r="Q367" s="75"/>
    </row>
    <row r="368" spans="1:17" ht="18.75" customHeight="1" x14ac:dyDescent="0.25">
      <c r="A368" s="15"/>
      <c r="B368" s="302" t="s">
        <v>100</v>
      </c>
      <c r="C368" s="502"/>
      <c r="D368" s="502"/>
      <c r="E368" s="502"/>
      <c r="F368" s="96"/>
      <c r="G368" s="96"/>
      <c r="H368" s="19"/>
      <c r="K368" s="68"/>
      <c r="L368" s="68"/>
      <c r="N368" s="68"/>
      <c r="Q368" s="47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40"/>
      <c r="C371" s="502"/>
      <c r="D371" s="502"/>
      <c r="E371" s="502"/>
      <c r="F371" s="76"/>
      <c r="G371" s="76"/>
      <c r="H371" s="19"/>
      <c r="Q371" s="20"/>
    </row>
    <row r="372" spans="1:17" x14ac:dyDescent="0.25">
      <c r="A372" s="15"/>
      <c r="B372" s="440"/>
      <c r="C372" s="385"/>
      <c r="D372" s="385"/>
      <c r="E372" s="440"/>
      <c r="F372" s="14"/>
      <c r="G372" s="77"/>
      <c r="H372" s="19"/>
      <c r="O372" s="68"/>
      <c r="Q372" s="20"/>
    </row>
    <row r="373" spans="1:17" x14ac:dyDescent="0.25">
      <c r="A373" s="15"/>
      <c r="B373" s="440"/>
      <c r="C373" s="385"/>
      <c r="D373" s="385"/>
      <c r="E373" s="440"/>
      <c r="F373" s="14"/>
      <c r="G373" s="78"/>
      <c r="I373" s="14"/>
      <c r="J373" s="79"/>
      <c r="N373" s="21"/>
      <c r="O373" s="21"/>
      <c r="P373" s="4"/>
      <c r="Q373" s="20"/>
    </row>
    <row r="374" spans="1:17" x14ac:dyDescent="0.25">
      <c r="A374" s="15"/>
      <c r="B374" s="440"/>
      <c r="C374" s="385"/>
      <c r="D374" s="385"/>
      <c r="E374" s="440"/>
      <c r="F374" s="14"/>
      <c r="G374" s="78"/>
      <c r="I374" s="14"/>
      <c r="J374" s="79"/>
      <c r="L374" s="47"/>
      <c r="M374" s="23"/>
      <c r="N374" s="63"/>
      <c r="O374" s="63"/>
      <c r="P374" s="4"/>
      <c r="Q374" s="20"/>
    </row>
    <row r="375" spans="1:17" x14ac:dyDescent="0.25">
      <c r="A375" s="15"/>
      <c r="B375" s="440"/>
      <c r="C375" s="385"/>
      <c r="D375" s="385"/>
      <c r="E375" s="440"/>
      <c r="F375" s="14"/>
      <c r="G375" s="78"/>
      <c r="I375" s="14"/>
      <c r="L375" s="16"/>
      <c r="M375" s="23"/>
      <c r="N375" s="63"/>
      <c r="O375" s="63"/>
      <c r="P375" s="4"/>
      <c r="Q375" s="20"/>
    </row>
    <row r="376" spans="1:17" ht="12.75" customHeight="1" x14ac:dyDescent="0.25">
      <c r="A376" s="15"/>
      <c r="B376" s="440"/>
      <c r="C376" s="385"/>
      <c r="D376" s="385"/>
      <c r="E376" s="440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17" ht="12.75" customHeight="1" x14ac:dyDescent="0.25">
      <c r="A377" s="15"/>
      <c r="B377" s="491"/>
      <c r="C377" s="385"/>
      <c r="D377" s="385"/>
      <c r="F377" s="80"/>
      <c r="G377" s="81"/>
      <c r="L377" s="16"/>
      <c r="M377" s="23"/>
      <c r="N377" s="63"/>
      <c r="O377" s="63"/>
      <c r="P377" s="4"/>
      <c r="Q377" s="20"/>
    </row>
    <row r="378" spans="1:17" ht="15" customHeight="1" x14ac:dyDescent="0.25">
      <c r="A378" s="15"/>
      <c r="L378" s="16"/>
      <c r="M378" s="23"/>
      <c r="N378" s="63"/>
      <c r="O378" s="63"/>
      <c r="P378" s="4"/>
      <c r="Q378" s="20"/>
    </row>
    <row r="379" spans="1:17" ht="15" customHeight="1" x14ac:dyDescent="0.25">
      <c r="A379" s="15"/>
      <c r="L379" s="16"/>
      <c r="M379" s="23"/>
      <c r="N379" s="63"/>
      <c r="O379" s="63"/>
      <c r="P379" s="4"/>
      <c r="Q379" s="20"/>
    </row>
    <row r="380" spans="1:17" ht="14.25" customHeight="1" x14ac:dyDescent="0.25">
      <c r="A380" s="15"/>
      <c r="L380" s="16"/>
      <c r="M380" s="23"/>
      <c r="N380" s="63"/>
      <c r="O380" s="63"/>
      <c r="Q380" s="20"/>
    </row>
    <row r="381" spans="1:17" ht="12.75" customHeight="1" x14ac:dyDescent="0.25">
      <c r="A381" s="15"/>
      <c r="L381" s="16"/>
      <c r="M381" s="23"/>
      <c r="N381" s="63"/>
      <c r="O381" s="63"/>
      <c r="Q381" s="23"/>
    </row>
    <row r="382" spans="1:17" x14ac:dyDescent="0.25">
      <c r="A382" s="15"/>
      <c r="L382" s="16"/>
      <c r="M382" s="23"/>
      <c r="N382" s="63"/>
      <c r="O382" s="63"/>
      <c r="Q382" s="23"/>
    </row>
    <row r="383" spans="1:17" x14ac:dyDescent="0.25">
      <c r="A383" s="15"/>
      <c r="L383" s="16"/>
      <c r="M383" s="23"/>
      <c r="N383" s="63"/>
      <c r="O383" s="63"/>
      <c r="Q383" s="23"/>
    </row>
    <row r="384" spans="1:17" x14ac:dyDescent="0.25">
      <c r="A384" s="15"/>
      <c r="L384" s="16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64" t="s">
        <v>197</v>
      </c>
      <c r="B421" s="664"/>
      <c r="C421" s="664"/>
      <c r="D421" s="664"/>
      <c r="E421" s="664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92" t="s">
        <v>195</v>
      </c>
      <c r="C423" s="693"/>
      <c r="D423" s="693"/>
      <c r="E423" s="709"/>
      <c r="F423" s="104"/>
      <c r="G423" s="701" t="s">
        <v>195</v>
      </c>
      <c r="H423" s="694"/>
      <c r="I423" s="694"/>
      <c r="J423" s="695"/>
      <c r="K423" s="22"/>
      <c r="Q423" s="23"/>
    </row>
    <row r="424" spans="1:17" ht="15" customHeight="1" x14ac:dyDescent="0.35">
      <c r="A424" s="15"/>
      <c r="B424" s="692" t="s">
        <v>443</v>
      </c>
      <c r="C424" s="693"/>
      <c r="D424" s="693"/>
      <c r="E424" s="709"/>
      <c r="F424" s="104"/>
      <c r="G424" s="701" t="s">
        <v>444</v>
      </c>
      <c r="H424" s="694"/>
      <c r="I424" s="694"/>
      <c r="J424" s="695"/>
      <c r="K424" s="22"/>
      <c r="Q424" s="23"/>
    </row>
    <row r="425" spans="1:17" x14ac:dyDescent="0.35">
      <c r="A425" s="15"/>
      <c r="B425" s="702" t="s">
        <v>42</v>
      </c>
      <c r="C425" s="702" t="s">
        <v>52</v>
      </c>
      <c r="D425" s="698" t="s">
        <v>167</v>
      </c>
      <c r="E425" s="700" t="s">
        <v>29</v>
      </c>
      <c r="F425" s="104"/>
      <c r="G425" s="690" t="s">
        <v>42</v>
      </c>
      <c r="H425" s="690" t="s">
        <v>52</v>
      </c>
      <c r="I425" s="690" t="s">
        <v>167</v>
      </c>
      <c r="J425" s="690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99"/>
      <c r="C426" s="699"/>
      <c r="D426" s="699"/>
      <c r="E426" s="699"/>
      <c r="F426" s="104"/>
      <c r="G426" s="691"/>
      <c r="H426" s="691"/>
      <c r="I426" s="691"/>
      <c r="J426" s="691"/>
      <c r="L426" s="22"/>
      <c r="M426" s="19"/>
      <c r="P426" s="23"/>
      <c r="Q426" s="23"/>
    </row>
    <row r="427" spans="1:17" x14ac:dyDescent="0.35">
      <c r="A427" s="15"/>
      <c r="B427" s="511" t="s">
        <v>44</v>
      </c>
      <c r="C427" s="512">
        <v>473</v>
      </c>
      <c r="D427" s="512">
        <v>42</v>
      </c>
      <c r="E427" s="512">
        <f t="shared" ref="E427:E449" si="14">+C427+D427</f>
        <v>515</v>
      </c>
      <c r="F427" s="104"/>
      <c r="G427" s="544" t="s">
        <v>44</v>
      </c>
      <c r="H427" s="512">
        <v>509</v>
      </c>
      <c r="I427" s="512">
        <v>73</v>
      </c>
      <c r="J427" s="512">
        <v>582</v>
      </c>
      <c r="L427" s="22"/>
      <c r="M427" s="19"/>
      <c r="P427" s="23"/>
      <c r="Q427" s="23"/>
    </row>
    <row r="428" spans="1:17" x14ac:dyDescent="0.35">
      <c r="A428" s="15"/>
      <c r="B428" s="511" t="s">
        <v>45</v>
      </c>
      <c r="C428" s="512">
        <v>338</v>
      </c>
      <c r="D428" s="512">
        <v>382</v>
      </c>
      <c r="E428" s="512">
        <f t="shared" si="14"/>
        <v>720</v>
      </c>
      <c r="F428" s="104"/>
      <c r="G428" s="544" t="s">
        <v>45</v>
      </c>
      <c r="H428" s="512">
        <v>168</v>
      </c>
      <c r="I428" s="512">
        <v>179</v>
      </c>
      <c r="J428" s="512">
        <v>347</v>
      </c>
      <c r="L428" s="22"/>
      <c r="M428" s="19"/>
      <c r="P428" s="23"/>
      <c r="Q428" s="23"/>
    </row>
    <row r="429" spans="1:17" x14ac:dyDescent="0.35">
      <c r="A429" s="15"/>
      <c r="B429" s="511" t="s">
        <v>46</v>
      </c>
      <c r="C429" s="512">
        <v>4</v>
      </c>
      <c r="D429" s="512">
        <v>12</v>
      </c>
      <c r="E429" s="512">
        <f t="shared" si="14"/>
        <v>16</v>
      </c>
      <c r="F429" s="104"/>
      <c r="G429" s="544" t="s">
        <v>46</v>
      </c>
      <c r="H429" s="512">
        <v>1</v>
      </c>
      <c r="I429" s="512">
        <v>18</v>
      </c>
      <c r="J429" s="512">
        <v>19</v>
      </c>
      <c r="L429" s="22"/>
      <c r="M429" s="19"/>
      <c r="P429" s="23"/>
      <c r="Q429" s="23"/>
    </row>
    <row r="430" spans="1:17" x14ac:dyDescent="0.35">
      <c r="A430" s="15"/>
      <c r="B430" s="511" t="s">
        <v>47</v>
      </c>
      <c r="C430" s="512">
        <v>36</v>
      </c>
      <c r="D430" s="512">
        <v>75</v>
      </c>
      <c r="E430" s="512">
        <f t="shared" si="14"/>
        <v>111</v>
      </c>
      <c r="F430" s="104"/>
      <c r="G430" s="544" t="s">
        <v>47</v>
      </c>
      <c r="H430" s="512">
        <v>23</v>
      </c>
      <c r="I430" s="512">
        <v>6</v>
      </c>
      <c r="J430" s="512">
        <v>29</v>
      </c>
      <c r="L430" s="22"/>
      <c r="M430" s="19"/>
      <c r="P430" s="23"/>
      <c r="Q430" s="23"/>
    </row>
    <row r="431" spans="1:17" x14ac:dyDescent="0.35">
      <c r="A431" s="15"/>
      <c r="B431" s="511" t="s">
        <v>48</v>
      </c>
      <c r="C431" s="512">
        <v>13</v>
      </c>
      <c r="D431" s="512">
        <v>0</v>
      </c>
      <c r="E431" s="512">
        <f t="shared" si="14"/>
        <v>13</v>
      </c>
      <c r="F431" s="104"/>
      <c r="G431" s="544" t="s">
        <v>48</v>
      </c>
      <c r="H431" s="512">
        <v>9</v>
      </c>
      <c r="I431" s="512">
        <v>0</v>
      </c>
      <c r="J431" s="512">
        <v>9</v>
      </c>
      <c r="L431" s="22"/>
      <c r="M431" s="19"/>
      <c r="P431" s="23"/>
      <c r="Q431" s="23"/>
    </row>
    <row r="432" spans="1:17" x14ac:dyDescent="0.35">
      <c r="A432" s="15"/>
      <c r="B432" s="511" t="s">
        <v>49</v>
      </c>
      <c r="C432" s="512">
        <v>83</v>
      </c>
      <c r="D432" s="512">
        <v>0</v>
      </c>
      <c r="E432" s="512">
        <f t="shared" si="14"/>
        <v>83</v>
      </c>
      <c r="F432" s="104"/>
      <c r="G432" s="544" t="s">
        <v>49</v>
      </c>
      <c r="H432" s="512">
        <v>52</v>
      </c>
      <c r="I432" s="512">
        <v>3</v>
      </c>
      <c r="J432" s="512">
        <v>55</v>
      </c>
      <c r="L432" s="22"/>
      <c r="M432" s="19"/>
      <c r="P432" s="23"/>
      <c r="Q432" s="23"/>
    </row>
    <row r="433" spans="1:17" x14ac:dyDescent="0.35">
      <c r="A433" s="15"/>
      <c r="B433" s="511" t="s">
        <v>92</v>
      </c>
      <c r="C433" s="512">
        <v>121</v>
      </c>
      <c r="D433" s="512">
        <v>23</v>
      </c>
      <c r="E433" s="512">
        <f t="shared" si="14"/>
        <v>144</v>
      </c>
      <c r="F433" s="104"/>
      <c r="G433" s="544" t="s">
        <v>92</v>
      </c>
      <c r="H433" s="512">
        <v>62</v>
      </c>
      <c r="I433" s="512">
        <v>27</v>
      </c>
      <c r="J433" s="512">
        <v>89</v>
      </c>
      <c r="L433" s="22"/>
      <c r="M433" s="19"/>
      <c r="P433" s="23"/>
      <c r="Q433" s="23"/>
    </row>
    <row r="434" spans="1:17" x14ac:dyDescent="0.35">
      <c r="A434" s="15"/>
      <c r="B434" s="511" t="s">
        <v>188</v>
      </c>
      <c r="C434" s="512">
        <v>36</v>
      </c>
      <c r="D434" s="512">
        <v>93</v>
      </c>
      <c r="E434" s="512">
        <f t="shared" si="14"/>
        <v>129</v>
      </c>
      <c r="F434" s="104"/>
      <c r="G434" s="544" t="s">
        <v>188</v>
      </c>
      <c r="H434" s="512">
        <v>67</v>
      </c>
      <c r="I434" s="512">
        <v>22</v>
      </c>
      <c r="J434" s="512">
        <v>89</v>
      </c>
      <c r="L434" s="22"/>
      <c r="M434" s="19"/>
      <c r="P434" s="23"/>
      <c r="Q434" s="23"/>
    </row>
    <row r="435" spans="1:17" x14ac:dyDescent="0.35">
      <c r="A435" s="15"/>
      <c r="B435" s="511" t="s">
        <v>50</v>
      </c>
      <c r="C435" s="512">
        <v>53</v>
      </c>
      <c r="D435" s="512">
        <v>68</v>
      </c>
      <c r="E435" s="512">
        <f t="shared" si="14"/>
        <v>121</v>
      </c>
      <c r="F435" s="104"/>
      <c r="G435" s="544" t="s">
        <v>50</v>
      </c>
      <c r="H435" s="512">
        <v>31</v>
      </c>
      <c r="I435" s="512">
        <v>66</v>
      </c>
      <c r="J435" s="512">
        <v>97</v>
      </c>
      <c r="L435" s="22"/>
      <c r="M435" s="19"/>
      <c r="P435" s="23"/>
      <c r="Q435" s="23"/>
    </row>
    <row r="436" spans="1:17" x14ac:dyDescent="0.35">
      <c r="A436" s="15"/>
      <c r="B436" s="511" t="s">
        <v>189</v>
      </c>
      <c r="C436" s="512">
        <v>34</v>
      </c>
      <c r="D436" s="512">
        <v>31</v>
      </c>
      <c r="E436" s="512">
        <f t="shared" si="14"/>
        <v>65</v>
      </c>
      <c r="F436" s="104"/>
      <c r="G436" s="544" t="s">
        <v>189</v>
      </c>
      <c r="H436" s="512">
        <v>23</v>
      </c>
      <c r="I436" s="512">
        <v>13</v>
      </c>
      <c r="J436" s="512">
        <v>36</v>
      </c>
      <c r="L436" s="22"/>
      <c r="M436" s="19"/>
      <c r="P436" s="23"/>
      <c r="Q436" s="23"/>
    </row>
    <row r="437" spans="1:17" x14ac:dyDescent="0.35">
      <c r="A437" s="15"/>
      <c r="B437" s="511" t="s">
        <v>190</v>
      </c>
      <c r="C437" s="512">
        <v>0</v>
      </c>
      <c r="D437" s="512">
        <v>0</v>
      </c>
      <c r="E437" s="512">
        <f t="shared" si="14"/>
        <v>0</v>
      </c>
      <c r="F437" s="104"/>
      <c r="G437" s="544" t="s">
        <v>190</v>
      </c>
      <c r="H437" s="512">
        <v>62</v>
      </c>
      <c r="I437" s="512">
        <v>21</v>
      </c>
      <c r="J437" s="512">
        <v>83</v>
      </c>
      <c r="L437" s="22"/>
      <c r="M437" s="19"/>
      <c r="P437" s="23"/>
      <c r="Q437" s="23"/>
    </row>
    <row r="438" spans="1:17" x14ac:dyDescent="0.35">
      <c r="A438" s="15"/>
      <c r="B438" s="511" t="s">
        <v>61</v>
      </c>
      <c r="C438" s="512">
        <v>8</v>
      </c>
      <c r="D438" s="512">
        <v>0</v>
      </c>
      <c r="E438" s="512">
        <f t="shared" si="14"/>
        <v>8</v>
      </c>
      <c r="F438" s="104"/>
      <c r="G438" s="544" t="s">
        <v>61</v>
      </c>
      <c r="H438" s="512">
        <v>5</v>
      </c>
      <c r="I438" s="512">
        <v>0</v>
      </c>
      <c r="J438" s="512">
        <v>5</v>
      </c>
      <c r="L438" s="22"/>
      <c r="M438" s="19"/>
      <c r="P438" s="23"/>
      <c r="Q438" s="23"/>
    </row>
    <row r="439" spans="1:17" x14ac:dyDescent="0.35">
      <c r="A439" s="15"/>
      <c r="B439" s="511" t="s">
        <v>191</v>
      </c>
      <c r="C439" s="512">
        <v>4</v>
      </c>
      <c r="D439" s="512">
        <v>0</v>
      </c>
      <c r="E439" s="512">
        <f t="shared" si="14"/>
        <v>4</v>
      </c>
      <c r="F439" s="104"/>
      <c r="G439" s="544" t="s">
        <v>191</v>
      </c>
      <c r="H439" s="512">
        <v>4</v>
      </c>
      <c r="I439" s="512">
        <v>0</v>
      </c>
      <c r="J439" s="512">
        <v>4</v>
      </c>
      <c r="L439" s="22"/>
      <c r="M439" s="19"/>
      <c r="P439" s="23"/>
      <c r="Q439" s="23"/>
    </row>
    <row r="440" spans="1:17" x14ac:dyDescent="0.35">
      <c r="A440" s="15"/>
      <c r="B440" s="511" t="s">
        <v>192</v>
      </c>
      <c r="C440" s="512">
        <v>23</v>
      </c>
      <c r="D440" s="512">
        <v>1</v>
      </c>
      <c r="E440" s="512">
        <f t="shared" si="14"/>
        <v>24</v>
      </c>
      <c r="F440" s="104"/>
      <c r="G440" s="544" t="s">
        <v>192</v>
      </c>
      <c r="H440" s="512">
        <v>23</v>
      </c>
      <c r="I440" s="512">
        <v>4</v>
      </c>
      <c r="J440" s="512">
        <v>27</v>
      </c>
      <c r="L440" s="22"/>
      <c r="M440" s="19"/>
      <c r="P440" s="23"/>
      <c r="Q440" s="23"/>
    </row>
    <row r="441" spans="1:17" x14ac:dyDescent="0.35">
      <c r="A441" s="15"/>
      <c r="B441" s="511" t="s">
        <v>101</v>
      </c>
      <c r="C441" s="512">
        <v>27</v>
      </c>
      <c r="D441" s="512">
        <v>10</v>
      </c>
      <c r="E441" s="512">
        <f t="shared" si="14"/>
        <v>37</v>
      </c>
      <c r="F441" s="104"/>
      <c r="G441" s="544" t="s">
        <v>101</v>
      </c>
      <c r="H441" s="512">
        <v>57</v>
      </c>
      <c r="I441" s="512">
        <v>0</v>
      </c>
      <c r="J441" s="512">
        <v>57</v>
      </c>
      <c r="L441" s="22"/>
      <c r="M441" s="19"/>
      <c r="P441" s="23"/>
      <c r="Q441" s="23"/>
    </row>
    <row r="442" spans="1:17" x14ac:dyDescent="0.35">
      <c r="A442" s="15"/>
      <c r="B442" s="511" t="s">
        <v>323</v>
      </c>
      <c r="C442" s="512">
        <v>31</v>
      </c>
      <c r="D442" s="512">
        <v>9</v>
      </c>
      <c r="E442" s="512">
        <f t="shared" si="14"/>
        <v>40</v>
      </c>
      <c r="F442" s="104"/>
      <c r="G442" s="599" t="s">
        <v>218</v>
      </c>
      <c r="H442" s="512">
        <v>14</v>
      </c>
      <c r="I442" s="512">
        <v>8</v>
      </c>
      <c r="J442" s="512">
        <v>22</v>
      </c>
      <c r="L442" s="22"/>
      <c r="M442" s="19"/>
      <c r="P442" s="23"/>
      <c r="Q442" s="23"/>
    </row>
    <row r="443" spans="1:17" x14ac:dyDescent="0.35">
      <c r="A443" s="15"/>
      <c r="B443" s="511" t="s">
        <v>209</v>
      </c>
      <c r="C443" s="512">
        <v>1</v>
      </c>
      <c r="D443" s="512">
        <v>0</v>
      </c>
      <c r="E443" s="512">
        <f t="shared" si="14"/>
        <v>1</v>
      </c>
      <c r="F443" s="104"/>
      <c r="G443" s="544" t="s">
        <v>193</v>
      </c>
      <c r="H443" s="512">
        <v>0</v>
      </c>
      <c r="I443" s="512">
        <v>0</v>
      </c>
      <c r="J443" s="512">
        <v>0</v>
      </c>
      <c r="L443" s="22"/>
      <c r="M443" s="19"/>
      <c r="P443" s="23"/>
      <c r="Q443" s="23"/>
    </row>
    <row r="444" spans="1:17" x14ac:dyDescent="0.35">
      <c r="A444" s="15"/>
      <c r="B444" s="568" t="s">
        <v>319</v>
      </c>
      <c r="C444" s="569">
        <v>0</v>
      </c>
      <c r="D444" s="569">
        <v>0</v>
      </c>
      <c r="E444" s="512">
        <f t="shared" si="14"/>
        <v>0</v>
      </c>
      <c r="F444" s="104"/>
      <c r="G444" s="544" t="s">
        <v>288</v>
      </c>
      <c r="H444" s="569">
        <v>6</v>
      </c>
      <c r="I444" s="569">
        <v>0</v>
      </c>
      <c r="J444" s="569">
        <v>6</v>
      </c>
      <c r="L444" s="22"/>
      <c r="M444" s="19"/>
      <c r="P444" s="23"/>
      <c r="Q444" s="23"/>
    </row>
    <row r="445" spans="1:17" x14ac:dyDescent="0.35">
      <c r="A445" s="15"/>
      <c r="B445" s="511" t="s">
        <v>97</v>
      </c>
      <c r="C445" s="512">
        <v>0</v>
      </c>
      <c r="D445" s="512">
        <v>0</v>
      </c>
      <c r="E445" s="512">
        <f>+C445+D445</f>
        <v>0</v>
      </c>
      <c r="F445" s="104"/>
      <c r="G445" s="544" t="s">
        <v>97</v>
      </c>
      <c r="H445" s="512">
        <v>0</v>
      </c>
      <c r="I445" s="512">
        <v>2</v>
      </c>
      <c r="J445" s="512">
        <v>2</v>
      </c>
      <c r="L445" s="22"/>
      <c r="M445" s="19"/>
      <c r="P445" s="23"/>
      <c r="Q445" s="23"/>
    </row>
    <row r="446" spans="1:17" x14ac:dyDescent="0.35">
      <c r="A446" s="15"/>
      <c r="B446" s="511" t="s">
        <v>168</v>
      </c>
      <c r="C446" s="512">
        <v>0</v>
      </c>
      <c r="D446" s="512">
        <v>0</v>
      </c>
      <c r="E446" s="512">
        <f t="shared" si="14"/>
        <v>0</v>
      </c>
      <c r="F446" s="104"/>
      <c r="G446" s="544" t="s">
        <v>168</v>
      </c>
      <c r="H446" s="512">
        <v>0</v>
      </c>
      <c r="I446" s="512">
        <v>0</v>
      </c>
      <c r="J446" s="512">
        <v>0</v>
      </c>
      <c r="L446" s="22"/>
      <c r="M446" s="19"/>
      <c r="P446" s="23"/>
      <c r="Q446" s="23"/>
    </row>
    <row r="447" spans="1:17" x14ac:dyDescent="0.35">
      <c r="A447" s="15"/>
      <c r="B447" s="511" t="s">
        <v>207</v>
      </c>
      <c r="C447" s="512">
        <v>0</v>
      </c>
      <c r="D447" s="512">
        <v>0</v>
      </c>
      <c r="E447" s="512">
        <f t="shared" si="14"/>
        <v>0</v>
      </c>
      <c r="F447" s="104"/>
      <c r="G447" s="544" t="s">
        <v>207</v>
      </c>
      <c r="H447" s="512">
        <v>0</v>
      </c>
      <c r="I447" s="512">
        <v>0</v>
      </c>
      <c r="J447" s="512">
        <v>0</v>
      </c>
      <c r="L447" s="22"/>
      <c r="M447" s="19"/>
      <c r="P447" s="23"/>
      <c r="Q447" s="23"/>
    </row>
    <row r="448" spans="1:17" x14ac:dyDescent="0.35">
      <c r="A448" s="15"/>
      <c r="B448" s="511" t="s">
        <v>324</v>
      </c>
      <c r="C448" s="512">
        <v>0</v>
      </c>
      <c r="D448" s="512">
        <v>0</v>
      </c>
      <c r="E448" s="512">
        <f t="shared" si="14"/>
        <v>0</v>
      </c>
      <c r="F448" s="104"/>
      <c r="G448" s="599" t="s">
        <v>208</v>
      </c>
      <c r="H448" s="512">
        <v>0</v>
      </c>
      <c r="I448" s="512">
        <v>0</v>
      </c>
      <c r="J448" s="512">
        <v>0</v>
      </c>
      <c r="L448" s="22"/>
      <c r="M448" s="19"/>
      <c r="P448" s="23"/>
      <c r="Q448" s="23"/>
    </row>
    <row r="449" spans="1:17" x14ac:dyDescent="0.35">
      <c r="A449" s="15"/>
      <c r="B449" s="511" t="s">
        <v>206</v>
      </c>
      <c r="C449" s="512">
        <v>49</v>
      </c>
      <c r="D449" s="512">
        <v>3</v>
      </c>
      <c r="E449" s="512">
        <f t="shared" si="14"/>
        <v>52</v>
      </c>
      <c r="F449" s="104"/>
      <c r="G449" s="599" t="s">
        <v>287</v>
      </c>
      <c r="H449" s="512">
        <v>23</v>
      </c>
      <c r="I449" s="512">
        <v>6</v>
      </c>
      <c r="J449" s="512">
        <v>29</v>
      </c>
      <c r="L449" s="22"/>
      <c r="M449" s="19"/>
      <c r="P449" s="23"/>
      <c r="Q449" s="23"/>
    </row>
    <row r="450" spans="1:17" x14ac:dyDescent="0.35">
      <c r="A450" s="15"/>
      <c r="B450" s="511" t="s">
        <v>237</v>
      </c>
      <c r="C450" s="512">
        <v>33</v>
      </c>
      <c r="D450" s="512">
        <v>5</v>
      </c>
      <c r="E450" s="512">
        <f>+C450+D450</f>
        <v>38</v>
      </c>
      <c r="F450" s="104"/>
      <c r="G450" s="544" t="s">
        <v>184</v>
      </c>
      <c r="H450" s="512">
        <v>21</v>
      </c>
      <c r="I450" s="512">
        <v>0</v>
      </c>
      <c r="J450" s="512">
        <v>21</v>
      </c>
      <c r="L450" s="22"/>
      <c r="M450" s="19"/>
      <c r="P450" s="23"/>
      <c r="Q450" s="23"/>
    </row>
    <row r="451" spans="1:17" x14ac:dyDescent="0.35">
      <c r="A451" s="15"/>
      <c r="B451" s="511" t="s">
        <v>322</v>
      </c>
      <c r="C451" s="512">
        <v>20</v>
      </c>
      <c r="D451" s="512">
        <v>12</v>
      </c>
      <c r="E451" s="512">
        <f>+C451+D451</f>
        <v>32</v>
      </c>
      <c r="F451" s="104"/>
      <c r="G451" s="514" t="s">
        <v>51</v>
      </c>
      <c r="H451" s="514">
        <v>1160</v>
      </c>
      <c r="I451" s="514">
        <v>448</v>
      </c>
      <c r="J451" s="545">
        <v>1608</v>
      </c>
      <c r="L451" s="22"/>
      <c r="M451" s="19"/>
      <c r="P451" s="23"/>
      <c r="Q451" s="23"/>
    </row>
    <row r="452" spans="1:17" x14ac:dyDescent="0.35">
      <c r="A452" s="15"/>
      <c r="B452" s="513" t="s">
        <v>51</v>
      </c>
      <c r="C452" s="514">
        <f>SUM(C427:C451)</f>
        <v>1387</v>
      </c>
      <c r="D452" s="514">
        <f>SUM(D427:D451)</f>
        <v>766</v>
      </c>
      <c r="E452" s="514">
        <f>SUM(E427:E451)</f>
        <v>2153</v>
      </c>
      <c r="F452" s="104"/>
      <c r="G452" s="515" t="s">
        <v>194</v>
      </c>
      <c r="H452" s="367"/>
      <c r="I452" s="546"/>
      <c r="J452" s="546"/>
      <c r="K452" s="68"/>
      <c r="L452" s="22"/>
      <c r="M452" s="19"/>
      <c r="P452" s="23"/>
      <c r="Q452" s="23"/>
    </row>
    <row r="453" spans="1:17" x14ac:dyDescent="0.25">
      <c r="A453" s="15"/>
      <c r="B453" s="515" t="s">
        <v>194</v>
      </c>
      <c r="C453" s="515"/>
      <c r="D453" s="515"/>
      <c r="E453" s="515"/>
      <c r="F453" s="106"/>
      <c r="G453" s="19"/>
      <c r="H453" s="19"/>
      <c r="K453" s="105"/>
      <c r="Q453" s="23"/>
    </row>
    <row r="454" spans="1:17" x14ac:dyDescent="0.25">
      <c r="A454" s="15"/>
      <c r="B454" s="99"/>
      <c r="C454" s="100"/>
      <c r="D454" s="100"/>
      <c r="E454" s="101"/>
      <c r="F454" s="102"/>
      <c r="G454" s="100"/>
      <c r="H454" s="101"/>
      <c r="I454" s="102"/>
      <c r="K454" s="22"/>
      <c r="Q454" s="23"/>
    </row>
    <row r="455" spans="1:17" x14ac:dyDescent="0.25">
      <c r="A455" s="15"/>
      <c r="B455" s="692" t="s">
        <v>196</v>
      </c>
      <c r="C455" s="693"/>
      <c r="D455" s="693"/>
      <c r="E455" s="709"/>
      <c r="F455" s="100"/>
      <c r="G455" s="701" t="s">
        <v>196</v>
      </c>
      <c r="H455" s="694"/>
      <c r="I455" s="694"/>
      <c r="J455" s="695"/>
      <c r="K455" s="22"/>
      <c r="Q455" s="23"/>
    </row>
    <row r="456" spans="1:17" ht="15" customHeight="1" x14ac:dyDescent="0.25">
      <c r="A456" s="15"/>
      <c r="B456" s="692" t="s">
        <v>443</v>
      </c>
      <c r="C456" s="693"/>
      <c r="D456" s="693"/>
      <c r="E456" s="709"/>
      <c r="F456" s="100"/>
      <c r="G456" s="701" t="s">
        <v>444</v>
      </c>
      <c r="H456" s="694"/>
      <c r="I456" s="694"/>
      <c r="J456" s="695"/>
      <c r="K456" s="22"/>
      <c r="Q456" s="23"/>
    </row>
    <row r="457" spans="1:17" ht="12" customHeight="1" x14ac:dyDescent="0.25">
      <c r="A457" s="15"/>
      <c r="B457" s="702" t="s">
        <v>42</v>
      </c>
      <c r="C457" s="702" t="s">
        <v>52</v>
      </c>
      <c r="D457" s="698" t="s">
        <v>167</v>
      </c>
      <c r="E457" s="700" t="s">
        <v>29</v>
      </c>
      <c r="F457" s="100"/>
      <c r="G457" s="690" t="s">
        <v>42</v>
      </c>
      <c r="H457" s="690" t="s">
        <v>52</v>
      </c>
      <c r="I457" s="690" t="s">
        <v>167</v>
      </c>
      <c r="J457" s="690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99"/>
      <c r="C458" s="699"/>
      <c r="D458" s="699"/>
      <c r="E458" s="699"/>
      <c r="F458" s="100"/>
      <c r="G458" s="691"/>
      <c r="H458" s="691"/>
      <c r="I458" s="691"/>
      <c r="J458" s="691"/>
      <c r="L458" s="22"/>
      <c r="M458" s="19"/>
      <c r="P458" s="23"/>
      <c r="Q458" s="23"/>
    </row>
    <row r="459" spans="1:17" x14ac:dyDescent="0.25">
      <c r="A459" s="15"/>
      <c r="B459" s="511" t="s">
        <v>44</v>
      </c>
      <c r="C459" s="512">
        <v>789</v>
      </c>
      <c r="D459" s="512">
        <v>24</v>
      </c>
      <c r="E459" s="512">
        <f t="shared" ref="E459:E483" si="15">+C459+D459</f>
        <v>813</v>
      </c>
      <c r="F459" s="100"/>
      <c r="G459" s="634" t="s">
        <v>76</v>
      </c>
      <c r="H459" s="547">
        <v>540</v>
      </c>
      <c r="I459" s="547">
        <v>71</v>
      </c>
      <c r="J459" s="512">
        <v>611</v>
      </c>
      <c r="L459" s="22"/>
      <c r="M459" s="19"/>
      <c r="P459" s="23"/>
      <c r="Q459" s="23"/>
    </row>
    <row r="460" spans="1:17" x14ac:dyDescent="0.25">
      <c r="A460" s="15"/>
      <c r="B460" s="511" t="s">
        <v>45</v>
      </c>
      <c r="C460" s="512">
        <v>608</v>
      </c>
      <c r="D460" s="512">
        <v>313</v>
      </c>
      <c r="E460" s="512">
        <f t="shared" si="15"/>
        <v>921</v>
      </c>
      <c r="F460" s="100"/>
      <c r="G460" s="634" t="s">
        <v>111</v>
      </c>
      <c r="H460" s="547">
        <v>592</v>
      </c>
      <c r="I460" s="547">
        <v>213</v>
      </c>
      <c r="J460" s="512">
        <v>805</v>
      </c>
      <c r="L460" s="22"/>
      <c r="M460" s="19"/>
      <c r="P460" s="23"/>
      <c r="Q460" s="23"/>
    </row>
    <row r="461" spans="1:17" x14ac:dyDescent="0.25">
      <c r="A461" s="15"/>
      <c r="B461" s="511" t="s">
        <v>46</v>
      </c>
      <c r="C461" s="512">
        <v>3</v>
      </c>
      <c r="D461" s="512">
        <v>7</v>
      </c>
      <c r="E461" s="512">
        <f t="shared" si="15"/>
        <v>10</v>
      </c>
      <c r="F461" s="100"/>
      <c r="G461" s="634" t="s">
        <v>112</v>
      </c>
      <c r="H461" s="547">
        <v>7</v>
      </c>
      <c r="I461" s="547">
        <v>10</v>
      </c>
      <c r="J461" s="512">
        <v>17</v>
      </c>
      <c r="L461" s="22"/>
      <c r="M461" s="19"/>
      <c r="P461" s="23"/>
      <c r="Q461" s="23"/>
    </row>
    <row r="462" spans="1:17" x14ac:dyDescent="0.25">
      <c r="A462" s="15"/>
      <c r="B462" s="511" t="s">
        <v>47</v>
      </c>
      <c r="C462" s="512">
        <v>72</v>
      </c>
      <c r="D462" s="512">
        <v>76</v>
      </c>
      <c r="E462" s="512">
        <f t="shared" si="15"/>
        <v>148</v>
      </c>
      <c r="F462" s="100"/>
      <c r="G462" s="634" t="s">
        <v>445</v>
      </c>
      <c r="H462" s="547">
        <v>34</v>
      </c>
      <c r="I462" s="547">
        <v>71</v>
      </c>
      <c r="J462" s="512">
        <v>105</v>
      </c>
      <c r="L462" s="22"/>
      <c r="M462" s="19"/>
      <c r="P462" s="23"/>
      <c r="Q462" s="23"/>
    </row>
    <row r="463" spans="1:17" x14ac:dyDescent="0.25">
      <c r="A463" s="15"/>
      <c r="B463" s="511" t="s">
        <v>48</v>
      </c>
      <c r="C463" s="512">
        <v>10</v>
      </c>
      <c r="D463" s="512">
        <v>0</v>
      </c>
      <c r="E463" s="512">
        <f t="shared" si="15"/>
        <v>10</v>
      </c>
      <c r="F463" s="100"/>
      <c r="G463" s="634" t="s">
        <v>446</v>
      </c>
      <c r="H463" s="547">
        <v>13</v>
      </c>
      <c r="I463" s="547">
        <v>0</v>
      </c>
      <c r="J463" s="512">
        <v>13</v>
      </c>
      <c r="L463" s="22"/>
      <c r="M463" s="19"/>
      <c r="P463" s="23"/>
      <c r="Q463" s="23"/>
    </row>
    <row r="464" spans="1:17" x14ac:dyDescent="0.25">
      <c r="A464" s="15"/>
      <c r="B464" s="511" t="s">
        <v>49</v>
      </c>
      <c r="C464" s="512">
        <v>91</v>
      </c>
      <c r="D464" s="512">
        <v>6</v>
      </c>
      <c r="E464" s="512">
        <f t="shared" si="15"/>
        <v>97</v>
      </c>
      <c r="F464" s="100"/>
      <c r="G464" s="634" t="s">
        <v>447</v>
      </c>
      <c r="H464" s="547">
        <v>54</v>
      </c>
      <c r="I464" s="547">
        <v>7</v>
      </c>
      <c r="J464" s="512">
        <v>61</v>
      </c>
      <c r="L464" s="22"/>
      <c r="M464" s="19"/>
      <c r="P464" s="23"/>
      <c r="Q464" s="23"/>
    </row>
    <row r="465" spans="1:17" x14ac:dyDescent="0.25">
      <c r="A465" s="15"/>
      <c r="B465" s="511" t="s">
        <v>92</v>
      </c>
      <c r="C465" s="512">
        <v>270</v>
      </c>
      <c r="D465" s="512">
        <v>36</v>
      </c>
      <c r="E465" s="512">
        <f t="shared" si="15"/>
        <v>306</v>
      </c>
      <c r="F465" s="100"/>
      <c r="G465" s="634" t="s">
        <v>165</v>
      </c>
      <c r="H465" s="547">
        <v>104</v>
      </c>
      <c r="I465" s="547">
        <v>47</v>
      </c>
      <c r="J465" s="512">
        <v>151</v>
      </c>
      <c r="L465" s="22"/>
      <c r="M465" s="19"/>
      <c r="P465" s="23"/>
      <c r="Q465" s="23"/>
    </row>
    <row r="466" spans="1:17" x14ac:dyDescent="0.25">
      <c r="A466" s="15"/>
      <c r="B466" s="511" t="s">
        <v>188</v>
      </c>
      <c r="C466" s="512">
        <v>63</v>
      </c>
      <c r="D466" s="512">
        <v>128</v>
      </c>
      <c r="E466" s="512">
        <f t="shared" si="15"/>
        <v>191</v>
      </c>
      <c r="F466" s="100"/>
      <c r="G466" s="634" t="s">
        <v>448</v>
      </c>
      <c r="H466" s="547">
        <v>144</v>
      </c>
      <c r="I466" s="547">
        <v>102</v>
      </c>
      <c r="J466" s="512">
        <v>246</v>
      </c>
      <c r="L466" s="22"/>
      <c r="M466" s="19"/>
      <c r="P466" s="23"/>
      <c r="Q466" s="23"/>
    </row>
    <row r="467" spans="1:17" x14ac:dyDescent="0.25">
      <c r="A467" s="15"/>
      <c r="B467" s="511" t="s">
        <v>50</v>
      </c>
      <c r="C467" s="512">
        <v>176</v>
      </c>
      <c r="D467" s="512">
        <v>15</v>
      </c>
      <c r="E467" s="512">
        <f t="shared" si="15"/>
        <v>191</v>
      </c>
      <c r="F467" s="100"/>
      <c r="G467" s="634" t="s">
        <v>198</v>
      </c>
      <c r="H467" s="547">
        <v>89</v>
      </c>
      <c r="I467" s="547">
        <v>100</v>
      </c>
      <c r="J467" s="512">
        <v>189</v>
      </c>
      <c r="L467" s="22"/>
      <c r="M467" s="19"/>
      <c r="P467" s="23"/>
      <c r="Q467" s="23"/>
    </row>
    <row r="468" spans="1:17" x14ac:dyDescent="0.25">
      <c r="A468" s="15"/>
      <c r="B468" s="511" t="s">
        <v>189</v>
      </c>
      <c r="C468" s="512">
        <v>91</v>
      </c>
      <c r="D468" s="512">
        <v>30</v>
      </c>
      <c r="E468" s="512">
        <f t="shared" si="15"/>
        <v>121</v>
      </c>
      <c r="F468" s="100"/>
      <c r="G468" s="634" t="s">
        <v>136</v>
      </c>
      <c r="H468" s="547">
        <v>88</v>
      </c>
      <c r="I468" s="547">
        <v>11</v>
      </c>
      <c r="J468" s="512">
        <v>99</v>
      </c>
      <c r="L468" s="22"/>
      <c r="M468" s="19"/>
      <c r="P468" s="23"/>
      <c r="Q468" s="23"/>
    </row>
    <row r="469" spans="1:17" x14ac:dyDescent="0.25">
      <c r="A469" s="15"/>
      <c r="B469" s="511" t="s">
        <v>190</v>
      </c>
      <c r="C469" s="512">
        <v>0</v>
      </c>
      <c r="D469" s="512">
        <v>0</v>
      </c>
      <c r="E469" s="512">
        <f t="shared" si="15"/>
        <v>0</v>
      </c>
      <c r="F469" s="100"/>
      <c r="G469" s="634" t="s">
        <v>103</v>
      </c>
      <c r="H469" s="547">
        <v>33</v>
      </c>
      <c r="I469" s="547">
        <v>3</v>
      </c>
      <c r="J469" s="512">
        <v>36</v>
      </c>
      <c r="L469" s="22"/>
      <c r="M469" s="19"/>
      <c r="P469" s="23"/>
      <c r="Q469" s="23"/>
    </row>
    <row r="470" spans="1:17" x14ac:dyDescent="0.25">
      <c r="A470" s="15"/>
      <c r="B470" s="511" t="s">
        <v>61</v>
      </c>
      <c r="C470" s="512">
        <v>9</v>
      </c>
      <c r="D470" s="512">
        <v>2</v>
      </c>
      <c r="E470" s="512">
        <f t="shared" si="15"/>
        <v>11</v>
      </c>
      <c r="F470" s="100"/>
      <c r="G470" s="634" t="s">
        <v>200</v>
      </c>
      <c r="H470" s="547">
        <v>6</v>
      </c>
      <c r="I470" s="547">
        <v>0</v>
      </c>
      <c r="J470" s="512">
        <v>6</v>
      </c>
      <c r="L470" s="22"/>
      <c r="M470" s="19"/>
      <c r="P470" s="23"/>
      <c r="Q470" s="23"/>
    </row>
    <row r="471" spans="1:17" x14ac:dyDescent="0.25">
      <c r="A471" s="15"/>
      <c r="B471" s="511" t="s">
        <v>191</v>
      </c>
      <c r="C471" s="512">
        <v>12</v>
      </c>
      <c r="D471" s="512">
        <v>0</v>
      </c>
      <c r="E471" s="512">
        <f t="shared" si="15"/>
        <v>12</v>
      </c>
      <c r="F471" s="100"/>
      <c r="G471" s="634" t="s">
        <v>449</v>
      </c>
      <c r="H471" s="547">
        <v>23</v>
      </c>
      <c r="I471" s="547">
        <v>0</v>
      </c>
      <c r="J471" s="512">
        <v>23</v>
      </c>
      <c r="L471" s="22"/>
      <c r="M471" s="19"/>
      <c r="P471" s="23"/>
      <c r="Q471" s="23"/>
    </row>
    <row r="472" spans="1:17" x14ac:dyDescent="0.25">
      <c r="A472" s="15"/>
      <c r="B472" s="511" t="s">
        <v>192</v>
      </c>
      <c r="C472" s="512">
        <v>136</v>
      </c>
      <c r="D472" s="512">
        <v>11</v>
      </c>
      <c r="E472" s="512">
        <f t="shared" si="15"/>
        <v>147</v>
      </c>
      <c r="F472" s="100"/>
      <c r="G472" s="634" t="s">
        <v>450</v>
      </c>
      <c r="H472" s="547">
        <v>45</v>
      </c>
      <c r="I472" s="547">
        <v>1</v>
      </c>
      <c r="J472" s="512">
        <v>46</v>
      </c>
      <c r="L472" s="22"/>
      <c r="M472" s="19"/>
      <c r="P472" s="23"/>
      <c r="Q472" s="23"/>
    </row>
    <row r="473" spans="1:17" x14ac:dyDescent="0.25">
      <c r="A473" s="15"/>
      <c r="B473" s="511" t="s">
        <v>101</v>
      </c>
      <c r="C473" s="512">
        <v>122</v>
      </c>
      <c r="D473" s="512">
        <v>10</v>
      </c>
      <c r="E473" s="512">
        <f t="shared" si="15"/>
        <v>132</v>
      </c>
      <c r="F473" s="100"/>
      <c r="G473" s="634" t="s">
        <v>127</v>
      </c>
      <c r="H473" s="547">
        <v>92</v>
      </c>
      <c r="I473" s="547">
        <v>0</v>
      </c>
      <c r="J473" s="512">
        <v>92</v>
      </c>
      <c r="L473" s="22"/>
      <c r="M473" s="19"/>
      <c r="P473" s="23"/>
      <c r="Q473" s="23"/>
    </row>
    <row r="474" spans="1:17" x14ac:dyDescent="0.25">
      <c r="A474" s="15"/>
      <c r="B474" s="511" t="s">
        <v>323</v>
      </c>
      <c r="C474" s="512">
        <v>123</v>
      </c>
      <c r="D474" s="512">
        <v>13</v>
      </c>
      <c r="E474" s="512">
        <f t="shared" si="15"/>
        <v>136</v>
      </c>
      <c r="F474" s="100"/>
      <c r="G474" s="634" t="s">
        <v>218</v>
      </c>
      <c r="H474" s="547">
        <v>50</v>
      </c>
      <c r="I474" s="547">
        <v>8</v>
      </c>
      <c r="J474" s="512">
        <v>58</v>
      </c>
      <c r="L474" s="22"/>
      <c r="M474" s="19"/>
      <c r="P474" s="23"/>
      <c r="Q474" s="23"/>
    </row>
    <row r="475" spans="1:17" x14ac:dyDescent="0.25">
      <c r="A475" s="15"/>
      <c r="B475" s="511" t="s">
        <v>209</v>
      </c>
      <c r="C475" s="512">
        <v>5</v>
      </c>
      <c r="D475" s="512">
        <v>0</v>
      </c>
      <c r="E475" s="512">
        <f t="shared" si="15"/>
        <v>5</v>
      </c>
      <c r="F475" s="100"/>
      <c r="G475" s="544" t="s">
        <v>193</v>
      </c>
      <c r="H475" s="547">
        <v>3</v>
      </c>
      <c r="I475" s="547">
        <v>0</v>
      </c>
      <c r="J475" s="512">
        <v>3</v>
      </c>
      <c r="L475" s="22"/>
      <c r="M475" s="19"/>
      <c r="P475" s="23"/>
      <c r="Q475" s="23"/>
    </row>
    <row r="476" spans="1:17" x14ac:dyDescent="0.25">
      <c r="A476" s="15"/>
      <c r="B476" s="568" t="s">
        <v>319</v>
      </c>
      <c r="C476" s="569">
        <v>4</v>
      </c>
      <c r="D476" s="569">
        <v>0</v>
      </c>
      <c r="E476" s="512">
        <f t="shared" si="15"/>
        <v>4</v>
      </c>
      <c r="F476" s="100"/>
      <c r="G476" s="570" t="s">
        <v>288</v>
      </c>
      <c r="H476" s="569">
        <v>5</v>
      </c>
      <c r="I476" s="569">
        <v>0</v>
      </c>
      <c r="J476" s="512">
        <v>5</v>
      </c>
      <c r="L476" s="22"/>
      <c r="M476" s="19"/>
      <c r="P476" s="23"/>
      <c r="Q476" s="23"/>
    </row>
    <row r="477" spans="1:17" ht="17.149999999999999" customHeight="1" x14ac:dyDescent="0.25">
      <c r="A477" s="15"/>
      <c r="B477" s="511" t="s">
        <v>97</v>
      </c>
      <c r="C477" s="512">
        <v>0</v>
      </c>
      <c r="D477" s="512">
        <v>0</v>
      </c>
      <c r="E477" s="512">
        <f t="shared" si="15"/>
        <v>0</v>
      </c>
      <c r="F477" s="100"/>
      <c r="G477" s="635" t="s">
        <v>451</v>
      </c>
      <c r="H477" s="547">
        <v>6</v>
      </c>
      <c r="I477" s="547">
        <v>1</v>
      </c>
      <c r="J477" s="512">
        <v>7</v>
      </c>
      <c r="L477" s="22"/>
      <c r="M477" s="19"/>
      <c r="P477" s="23"/>
      <c r="Q477" s="23"/>
    </row>
    <row r="478" spans="1:17" x14ac:dyDescent="0.25">
      <c r="A478" s="15"/>
      <c r="B478" s="511" t="s">
        <v>168</v>
      </c>
      <c r="C478" s="512">
        <v>0</v>
      </c>
      <c r="D478" s="512">
        <v>0</v>
      </c>
      <c r="E478" s="512">
        <f t="shared" si="15"/>
        <v>0</v>
      </c>
      <c r="F478" s="100"/>
      <c r="G478" s="635" t="s">
        <v>129</v>
      </c>
      <c r="H478" s="547">
        <v>1</v>
      </c>
      <c r="I478" s="547">
        <v>0</v>
      </c>
      <c r="J478" s="512">
        <v>1</v>
      </c>
      <c r="L478" s="22"/>
      <c r="M478" s="19"/>
      <c r="P478" s="23"/>
      <c r="Q478" s="23"/>
    </row>
    <row r="479" spans="1:17" x14ac:dyDescent="0.25">
      <c r="A479" s="15"/>
      <c r="B479" s="511" t="s">
        <v>207</v>
      </c>
      <c r="C479" s="516">
        <v>0</v>
      </c>
      <c r="D479" s="516">
        <v>0</v>
      </c>
      <c r="E479" s="512">
        <f t="shared" si="15"/>
        <v>0</v>
      </c>
      <c r="F479" s="100"/>
      <c r="G479" s="634" t="s">
        <v>183</v>
      </c>
      <c r="H479" s="548">
        <v>0</v>
      </c>
      <c r="I479" s="548">
        <v>0</v>
      </c>
      <c r="J479" s="512">
        <v>0</v>
      </c>
      <c r="L479" s="22"/>
      <c r="M479" s="19"/>
      <c r="P479" s="23"/>
      <c r="Q479" s="23"/>
    </row>
    <row r="480" spans="1:17" x14ac:dyDescent="0.25">
      <c r="A480" s="15"/>
      <c r="B480" s="511" t="s">
        <v>324</v>
      </c>
      <c r="C480" s="516">
        <v>0</v>
      </c>
      <c r="D480" s="512">
        <v>0</v>
      </c>
      <c r="E480" s="512">
        <f t="shared" si="15"/>
        <v>0</v>
      </c>
      <c r="F480" s="100"/>
      <c r="G480" s="634" t="s">
        <v>208</v>
      </c>
      <c r="H480" s="548">
        <v>0</v>
      </c>
      <c r="I480" s="547">
        <v>0</v>
      </c>
      <c r="J480" s="512">
        <v>0</v>
      </c>
      <c r="L480" s="22"/>
      <c r="M480" s="19"/>
      <c r="P480" s="23"/>
      <c r="Q480" s="23"/>
    </row>
    <row r="481" spans="1:17" x14ac:dyDescent="0.25">
      <c r="A481" s="15"/>
      <c r="B481" s="511" t="s">
        <v>206</v>
      </c>
      <c r="C481" s="516">
        <v>48</v>
      </c>
      <c r="D481" s="512">
        <v>10</v>
      </c>
      <c r="E481" s="512">
        <f t="shared" si="15"/>
        <v>58</v>
      </c>
      <c r="F481" s="100"/>
      <c r="G481" s="634" t="s">
        <v>287</v>
      </c>
      <c r="H481" s="548">
        <v>38</v>
      </c>
      <c r="I481" s="547">
        <v>4</v>
      </c>
      <c r="J481" s="512">
        <v>42</v>
      </c>
      <c r="L481" s="22"/>
      <c r="M481" s="19"/>
      <c r="P481" s="23"/>
      <c r="Q481" s="23"/>
    </row>
    <row r="482" spans="1:17" x14ac:dyDescent="0.25">
      <c r="A482" s="15"/>
      <c r="B482" s="511" t="s">
        <v>237</v>
      </c>
      <c r="C482" s="516">
        <v>54</v>
      </c>
      <c r="D482" s="512">
        <v>10</v>
      </c>
      <c r="E482" s="512">
        <f t="shared" si="15"/>
        <v>64</v>
      </c>
      <c r="F482" s="100"/>
      <c r="G482" s="634" t="s">
        <v>184</v>
      </c>
      <c r="H482" s="548">
        <v>38</v>
      </c>
      <c r="I482" s="547">
        <v>0</v>
      </c>
      <c r="J482" s="512">
        <v>38</v>
      </c>
      <c r="L482" s="22"/>
      <c r="M482" s="19"/>
      <c r="P482" s="23"/>
      <c r="Q482" s="23"/>
    </row>
    <row r="483" spans="1:17" x14ac:dyDescent="0.25">
      <c r="A483" s="15"/>
      <c r="B483" s="511" t="s">
        <v>322</v>
      </c>
      <c r="C483" s="516">
        <v>81</v>
      </c>
      <c r="D483" s="512">
        <v>11</v>
      </c>
      <c r="E483" s="512">
        <f t="shared" si="15"/>
        <v>92</v>
      </c>
      <c r="F483" s="100"/>
      <c r="G483" s="517" t="s">
        <v>51</v>
      </c>
      <c r="H483" s="514">
        <v>2005</v>
      </c>
      <c r="I483" s="514">
        <v>649</v>
      </c>
      <c r="J483" s="514">
        <v>2654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7" t="s">
        <v>51</v>
      </c>
      <c r="C484" s="514">
        <f>SUM(C459:C483)</f>
        <v>2767</v>
      </c>
      <c r="D484" s="514">
        <f>SUM(D459:D483)</f>
        <v>702</v>
      </c>
      <c r="E484" s="514">
        <f>SUM(E459:E483)</f>
        <v>3469</v>
      </c>
      <c r="F484" s="107"/>
      <c r="K484" s="116"/>
      <c r="L484" s="295"/>
      <c r="P484" s="70"/>
      <c r="Q484" s="70"/>
    </row>
    <row r="485" spans="1:17" x14ac:dyDescent="0.25">
      <c r="A485" s="15"/>
      <c r="B485" s="518"/>
      <c r="C485" s="519"/>
      <c r="D485" s="519"/>
      <c r="E485" s="520"/>
      <c r="F485" s="103"/>
      <c r="G485" s="98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64" t="s">
        <v>307</v>
      </c>
      <c r="C487" s="664"/>
      <c r="D487" s="664"/>
      <c r="E487" s="664"/>
      <c r="F487" s="664"/>
      <c r="G487" s="316"/>
      <c r="H487" s="317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21"/>
      <c r="C488" s="522"/>
      <c r="D488" s="522"/>
      <c r="E488" s="521"/>
      <c r="F488" s="5"/>
      <c r="G488" s="316"/>
      <c r="H488" s="318"/>
      <c r="I488" s="318"/>
      <c r="J488" s="318"/>
      <c r="K488" s="318"/>
      <c r="L488" s="7"/>
      <c r="M488" s="573"/>
      <c r="N488" s="6"/>
      <c r="O488" s="5"/>
      <c r="P488" s="5"/>
      <c r="Q488" s="3"/>
    </row>
    <row r="489" spans="1:17" s="29" customFormat="1" x14ac:dyDescent="0.25">
      <c r="B489" s="584" t="s">
        <v>308</v>
      </c>
      <c r="C489" s="584" t="s">
        <v>123</v>
      </c>
      <c r="D489" s="584" t="s">
        <v>9</v>
      </c>
      <c r="E489" s="584" t="s">
        <v>124</v>
      </c>
      <c r="F489" s="585" t="s">
        <v>125</v>
      </c>
      <c r="G489" s="30"/>
      <c r="H489" s="591" t="s">
        <v>313</v>
      </c>
      <c r="I489" s="591" t="s">
        <v>123</v>
      </c>
      <c r="J489" s="592" t="s">
        <v>9</v>
      </c>
      <c r="K489" s="591" t="s">
        <v>124</v>
      </c>
      <c r="L489" s="591" t="s">
        <v>125</v>
      </c>
      <c r="M489" s="82"/>
      <c r="N489" s="49"/>
      <c r="O489" s="49"/>
      <c r="P489" s="36"/>
      <c r="Q489" s="36"/>
    </row>
    <row r="490" spans="1:17" ht="28.5" customHeight="1" x14ac:dyDescent="0.25">
      <c r="B490" s="613" t="s">
        <v>309</v>
      </c>
      <c r="C490" s="586">
        <v>10214.222164630561</v>
      </c>
      <c r="D490" s="586">
        <v>1947.24</v>
      </c>
      <c r="E490" s="586">
        <v>8266.9821646305609</v>
      </c>
      <c r="F490" s="587">
        <v>0.19064006721361831</v>
      </c>
      <c r="G490" s="30"/>
      <c r="H490" s="561" t="s">
        <v>126</v>
      </c>
      <c r="I490" s="588">
        <v>6000</v>
      </c>
      <c r="J490" s="588">
        <v>5093.31572598</v>
      </c>
      <c r="K490" s="589">
        <v>906.68427401999998</v>
      </c>
      <c r="L490" s="590">
        <v>0.84888595433000003</v>
      </c>
      <c r="M490" s="6"/>
      <c r="N490" s="5"/>
      <c r="O490" s="5"/>
      <c r="P490" s="3"/>
      <c r="Q490" s="3"/>
    </row>
    <row r="491" spans="1:17" ht="24" customHeight="1" x14ac:dyDescent="0.25">
      <c r="B491" s="613" t="s">
        <v>310</v>
      </c>
      <c r="C491" s="586">
        <v>62742.336791313639</v>
      </c>
      <c r="D491" s="586">
        <v>8334.0469999999987</v>
      </c>
      <c r="E491" s="586">
        <v>54408.28979131364</v>
      </c>
      <c r="F491" s="587">
        <v>0.1328297195515645</v>
      </c>
      <c r="G491" s="30"/>
      <c r="H491" s="561" t="s">
        <v>314</v>
      </c>
      <c r="I491" s="588">
        <v>2000</v>
      </c>
      <c r="J491" s="588">
        <v>1310.0137852600001</v>
      </c>
      <c r="K491" s="589">
        <v>689.98621473999992</v>
      </c>
      <c r="L491" s="590">
        <v>0.65500689263</v>
      </c>
      <c r="M491" s="6"/>
      <c r="N491" s="5"/>
      <c r="O491" s="5"/>
      <c r="P491" s="3"/>
      <c r="Q491" s="3"/>
    </row>
    <row r="492" spans="1:17" ht="36.75" customHeight="1" x14ac:dyDescent="0.25">
      <c r="B492" s="613" t="s">
        <v>311</v>
      </c>
      <c r="C492" s="586">
        <v>4548.1475681610355</v>
      </c>
      <c r="D492" s="586">
        <v>957.61500000000001</v>
      </c>
      <c r="E492" s="586">
        <v>3590.5325681610357</v>
      </c>
      <c r="F492" s="587">
        <v>0.21055055616570398</v>
      </c>
      <c r="G492" s="30"/>
      <c r="H492" s="593" t="s">
        <v>315</v>
      </c>
      <c r="I492" s="588">
        <v>0</v>
      </c>
      <c r="J492" s="588">
        <v>0</v>
      </c>
      <c r="K492" s="589">
        <v>0</v>
      </c>
      <c r="L492" s="590">
        <v>0</v>
      </c>
      <c r="M492" s="6"/>
      <c r="N492" s="5"/>
      <c r="O492" s="5"/>
      <c r="P492" s="3"/>
      <c r="Q492" s="3"/>
    </row>
    <row r="493" spans="1:17" ht="24" customHeight="1" x14ac:dyDescent="0.25">
      <c r="B493" s="613" t="s">
        <v>109</v>
      </c>
      <c r="C493" s="586">
        <v>1710.3328039933306</v>
      </c>
      <c r="D493" s="586">
        <v>341.51499999999999</v>
      </c>
      <c r="E493" s="586">
        <v>1368.8178039933305</v>
      </c>
      <c r="F493" s="587">
        <v>0.19967751258855684</v>
      </c>
      <c r="G493" s="30"/>
      <c r="H493" s="561" t="s">
        <v>316</v>
      </c>
      <c r="I493" s="588">
        <v>50</v>
      </c>
      <c r="J493" s="588">
        <v>18.152577879999999</v>
      </c>
      <c r="K493" s="589">
        <v>31.847422120000001</v>
      </c>
      <c r="L493" s="590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13" t="s">
        <v>312</v>
      </c>
      <c r="C494" s="586">
        <v>6029.1620073731374</v>
      </c>
      <c r="D494" s="586">
        <v>878.43499999999995</v>
      </c>
      <c r="E494" s="586">
        <v>5150.7270073731379</v>
      </c>
      <c r="F494" s="587">
        <v>0.14569769379654268</v>
      </c>
      <c r="G494" s="30"/>
      <c r="H494" s="593" t="s">
        <v>317</v>
      </c>
      <c r="I494" s="588">
        <v>400</v>
      </c>
      <c r="J494" s="588">
        <v>205.21049823999999</v>
      </c>
      <c r="K494" s="589">
        <v>194.78950176000001</v>
      </c>
      <c r="L494" s="590">
        <v>0.51302624559999999</v>
      </c>
      <c r="M494" s="6"/>
      <c r="N494" s="5"/>
      <c r="O494" s="5"/>
      <c r="P494" s="3"/>
      <c r="Q494" s="3"/>
    </row>
    <row r="495" spans="1:17" ht="24" customHeight="1" x14ac:dyDescent="0.25">
      <c r="B495" s="584" t="s">
        <v>6</v>
      </c>
      <c r="C495" s="614">
        <v>85244.201335471691</v>
      </c>
      <c r="D495" s="614">
        <v>12458.851999999997</v>
      </c>
      <c r="E495" s="614">
        <v>72785.349335471707</v>
      </c>
      <c r="F495" s="615">
        <v>0.14615483287794778</v>
      </c>
      <c r="G495" s="30"/>
      <c r="H495" s="593" t="s">
        <v>318</v>
      </c>
      <c r="I495" s="588">
        <v>48379.47</v>
      </c>
      <c r="J495" s="588">
        <v>10925.66932651</v>
      </c>
      <c r="K495" s="589">
        <v>37453.800673489997</v>
      </c>
      <c r="L495" s="590">
        <v>0.22583276184112808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4"/>
      <c r="H496" s="592" t="s">
        <v>6</v>
      </c>
      <c r="I496" s="594">
        <v>56829.47</v>
      </c>
      <c r="J496" s="595">
        <v>17552.361913870001</v>
      </c>
      <c r="K496" s="594">
        <v>39277.10808613</v>
      </c>
      <c r="L496" s="596">
        <v>0.30886020780890622</v>
      </c>
      <c r="M496" s="23"/>
      <c r="N496" s="23"/>
      <c r="O496" s="5"/>
      <c r="P496" s="5"/>
      <c r="Q496" s="3"/>
    </row>
    <row r="497" spans="2:17" ht="21" customHeight="1" x14ac:dyDescent="0.25">
      <c r="B497" s="523" t="s">
        <v>297</v>
      </c>
      <c r="D497" s="525"/>
      <c r="E497" s="526"/>
      <c r="F497" s="296"/>
      <c r="G497" s="326"/>
      <c r="H497" s="327"/>
      <c r="I497" s="328"/>
      <c r="J497" s="329"/>
      <c r="K497" s="330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64" t="s">
        <v>429</v>
      </c>
      <c r="C517" s="664"/>
      <c r="D517" s="664"/>
      <c r="E517" s="664"/>
    </row>
    <row r="518" spans="2:17" ht="13" x14ac:dyDescent="0.25">
      <c r="B518" s="664"/>
      <c r="C518" s="664"/>
      <c r="D518" s="664"/>
      <c r="E518" s="664"/>
      <c r="F518" s="25"/>
      <c r="G518" s="83"/>
    </row>
    <row r="520" spans="2:17" ht="15" customHeight="1" x14ac:dyDescent="0.25">
      <c r="B520" s="707" t="s">
        <v>241</v>
      </c>
      <c r="C520" s="692" t="s">
        <v>240</v>
      </c>
      <c r="D520" s="693"/>
      <c r="E520" s="694" t="s">
        <v>167</v>
      </c>
      <c r="F520" s="695"/>
      <c r="G520" s="3"/>
    </row>
    <row r="521" spans="2:17" x14ac:dyDescent="0.25">
      <c r="B521" s="708"/>
      <c r="C521" s="478" t="s">
        <v>58</v>
      </c>
      <c r="D521" s="527" t="s">
        <v>43</v>
      </c>
      <c r="E521" s="478" t="s">
        <v>58</v>
      </c>
      <c r="F521" s="321" t="s">
        <v>43</v>
      </c>
      <c r="G521" s="3"/>
      <c r="H521" s="19"/>
      <c r="L521" s="22"/>
      <c r="M521" s="19"/>
      <c r="P521" s="22"/>
    </row>
    <row r="522" spans="2:17" ht="14.15" customHeight="1" x14ac:dyDescent="0.25">
      <c r="B522" s="528" t="s">
        <v>138</v>
      </c>
      <c r="C522" s="461">
        <v>1</v>
      </c>
      <c r="D522" s="462">
        <v>8329000</v>
      </c>
      <c r="E522" s="463">
        <v>0</v>
      </c>
      <c r="F522" s="462">
        <v>0</v>
      </c>
      <c r="G522" s="3"/>
      <c r="H522" s="19"/>
      <c r="L522" s="22"/>
      <c r="M522" s="19"/>
      <c r="P522" s="22"/>
    </row>
    <row r="523" spans="2:17" ht="14.15" customHeight="1" x14ac:dyDescent="0.25">
      <c r="B523" s="528" t="s">
        <v>139</v>
      </c>
      <c r="C523" s="461">
        <v>0</v>
      </c>
      <c r="D523" s="462">
        <v>0</v>
      </c>
      <c r="E523" s="463">
        <v>0</v>
      </c>
      <c r="F523" s="462">
        <v>0</v>
      </c>
      <c r="G523" s="3"/>
      <c r="H523" s="19"/>
      <c r="L523" s="22"/>
      <c r="M523" s="19"/>
      <c r="P523" s="22"/>
    </row>
    <row r="524" spans="2:17" ht="43.5" hidden="1" x14ac:dyDescent="0.25">
      <c r="B524" s="528" t="s">
        <v>202</v>
      </c>
      <c r="C524" s="461">
        <v>0</v>
      </c>
      <c r="D524" s="462">
        <v>0</v>
      </c>
      <c r="E524" s="463">
        <v>0</v>
      </c>
      <c r="F524" s="135">
        <v>0</v>
      </c>
      <c r="G524" s="3"/>
      <c r="H524" s="19"/>
      <c r="L524" s="22"/>
      <c r="M524" s="19"/>
      <c r="P524" s="22"/>
    </row>
    <row r="525" spans="2:17" x14ac:dyDescent="0.25">
      <c r="B525" s="528" t="s">
        <v>140</v>
      </c>
      <c r="C525" s="461">
        <v>0</v>
      </c>
      <c r="D525" s="617">
        <v>0</v>
      </c>
      <c r="E525" s="463">
        <v>0</v>
      </c>
      <c r="F525" s="135">
        <v>0</v>
      </c>
      <c r="G525" s="3"/>
      <c r="H525" s="19"/>
      <c r="L525" s="22"/>
      <c r="M525" s="19"/>
      <c r="P525" s="22"/>
    </row>
    <row r="526" spans="2:17" x14ac:dyDescent="0.25">
      <c r="B526" s="528" t="s">
        <v>242</v>
      </c>
      <c r="C526" s="461">
        <v>0</v>
      </c>
      <c r="D526" s="462">
        <v>0</v>
      </c>
      <c r="E526" s="463">
        <v>0</v>
      </c>
      <c r="F526" s="135">
        <v>0</v>
      </c>
      <c r="G526" s="3"/>
      <c r="H526" s="19"/>
      <c r="L526" s="22"/>
      <c r="M526" s="19"/>
      <c r="P526" s="22"/>
    </row>
    <row r="527" spans="2:17" ht="29" hidden="1" x14ac:dyDescent="0.25">
      <c r="B527" s="528" t="s">
        <v>142</v>
      </c>
      <c r="C527" s="461">
        <v>0</v>
      </c>
      <c r="D527" s="462">
        <v>0</v>
      </c>
      <c r="E527" s="463">
        <v>0</v>
      </c>
      <c r="F527" s="135">
        <v>0</v>
      </c>
      <c r="G527" s="3"/>
      <c r="H527" s="19"/>
      <c r="L527" s="22"/>
      <c r="M527" s="19"/>
      <c r="P527" s="22"/>
    </row>
    <row r="528" spans="2:17" ht="29" hidden="1" x14ac:dyDescent="0.25">
      <c r="B528" s="528" t="s">
        <v>143</v>
      </c>
      <c r="C528" s="461">
        <v>0</v>
      </c>
      <c r="D528" s="462">
        <v>0</v>
      </c>
      <c r="E528" s="463">
        <v>0</v>
      </c>
      <c r="F528" s="135">
        <v>0</v>
      </c>
      <c r="G528" s="3"/>
      <c r="H528" s="19"/>
      <c r="L528" s="22"/>
      <c r="M528" s="19"/>
      <c r="P528" s="22"/>
    </row>
    <row r="529" spans="2:29" ht="29" hidden="1" x14ac:dyDescent="0.25">
      <c r="B529" s="528" t="s">
        <v>219</v>
      </c>
      <c r="C529" s="461">
        <v>0</v>
      </c>
      <c r="D529" s="462">
        <v>0</v>
      </c>
      <c r="E529" s="463">
        <v>0</v>
      </c>
      <c r="F529" s="135">
        <v>0</v>
      </c>
      <c r="G529" s="3"/>
      <c r="H529" s="19"/>
      <c r="L529" s="22"/>
      <c r="M529" s="19"/>
      <c r="P529" s="22"/>
    </row>
    <row r="530" spans="2:29" hidden="1" x14ac:dyDescent="0.25">
      <c r="B530" s="528" t="s">
        <v>203</v>
      </c>
      <c r="C530" s="461">
        <v>0</v>
      </c>
      <c r="D530" s="462">
        <v>0</v>
      </c>
      <c r="E530" s="463">
        <v>0</v>
      </c>
      <c r="F530" s="135">
        <v>0</v>
      </c>
      <c r="G530" s="3"/>
      <c r="H530" s="19"/>
      <c r="L530" s="22"/>
      <c r="M530" s="19"/>
      <c r="P530" s="22"/>
      <c r="V530" s="163"/>
      <c r="W530" s="151"/>
      <c r="AA530" s="19"/>
    </row>
    <row r="531" spans="2:29" x14ac:dyDescent="0.25">
      <c r="B531" s="529" t="s">
        <v>201</v>
      </c>
      <c r="C531" s="530">
        <f>SUM(C522:C530)</f>
        <v>1</v>
      </c>
      <c r="D531" s="531">
        <f>SUM(D522:D530)</f>
        <v>8329000</v>
      </c>
      <c r="E531" s="530">
        <f>SUM(E522:E530)</f>
        <v>0</v>
      </c>
      <c r="F531" s="616">
        <f>SUM(F522:F530)</f>
        <v>0</v>
      </c>
      <c r="G531" s="3"/>
      <c r="H531" s="319"/>
      <c r="L531" s="22"/>
      <c r="M531" s="19"/>
      <c r="P531" s="22"/>
      <c r="V531" s="163"/>
      <c r="W531" s="151"/>
      <c r="AA531" s="19"/>
    </row>
    <row r="532" spans="2:29" x14ac:dyDescent="0.25">
      <c r="H532" s="540"/>
    </row>
    <row r="533" spans="2:29" x14ac:dyDescent="0.25">
      <c r="D533" s="560"/>
      <c r="E533" s="553"/>
      <c r="F533" s="319"/>
      <c r="G533" s="559"/>
      <c r="H533" s="540"/>
    </row>
    <row r="534" spans="2:29" ht="19.5" customHeight="1" x14ac:dyDescent="0.25">
      <c r="B534" s="664" t="s">
        <v>267</v>
      </c>
      <c r="C534" s="664"/>
      <c r="D534" s="664"/>
      <c r="E534" s="664"/>
      <c r="F534" s="664"/>
      <c r="G534" s="571"/>
      <c r="H534" s="574"/>
    </row>
    <row r="535" spans="2:29" x14ac:dyDescent="0.25">
      <c r="G535" s="559"/>
      <c r="H535" s="540"/>
    </row>
    <row r="536" spans="2:29" x14ac:dyDescent="0.25">
      <c r="B536" s="532" t="s">
        <v>28</v>
      </c>
      <c r="C536" s="533" t="s">
        <v>266</v>
      </c>
      <c r="D536" s="533" t="s">
        <v>43</v>
      </c>
      <c r="E536" s="533" t="s">
        <v>131</v>
      </c>
      <c r="F536" s="434" t="s">
        <v>43</v>
      </c>
      <c r="G536" s="3"/>
      <c r="H536" s="19"/>
      <c r="L536" s="22"/>
      <c r="M536" s="19"/>
      <c r="P536" s="22"/>
      <c r="V536" s="163"/>
      <c r="W536" s="151"/>
      <c r="Y536" s="151" t="s">
        <v>28</v>
      </c>
      <c r="Z536" s="151" t="s">
        <v>266</v>
      </c>
      <c r="AA536" s="19" t="s">
        <v>43</v>
      </c>
      <c r="AB536" s="19" t="s">
        <v>131</v>
      </c>
      <c r="AC536" s="19" t="s">
        <v>43</v>
      </c>
    </row>
    <row r="537" spans="2:29" x14ac:dyDescent="0.25">
      <c r="B537" s="2" t="s">
        <v>59</v>
      </c>
      <c r="C537" s="367">
        <v>3</v>
      </c>
      <c r="D537" s="534">
        <v>23.85</v>
      </c>
      <c r="E537" s="367">
        <v>0</v>
      </c>
      <c r="F537" s="365">
        <f>F531/1000000</f>
        <v>0</v>
      </c>
      <c r="G537" s="540"/>
      <c r="H537" s="19"/>
      <c r="L537" s="22"/>
      <c r="M537" s="19"/>
      <c r="P537" s="22"/>
      <c r="V537" s="163"/>
      <c r="W537" s="151"/>
      <c r="Y537" s="151" t="s">
        <v>59</v>
      </c>
      <c r="Z537" s="151">
        <v>1</v>
      </c>
      <c r="AA537" s="19">
        <v>5.3659999999999997</v>
      </c>
      <c r="AB537" s="19">
        <v>0</v>
      </c>
      <c r="AC537" s="19">
        <v>0</v>
      </c>
    </row>
    <row r="538" spans="2:29" x14ac:dyDescent="0.25">
      <c r="B538" s="2" t="s">
        <v>32</v>
      </c>
      <c r="C538" s="367">
        <v>1</v>
      </c>
      <c r="D538" s="534">
        <v>21.113593000000002</v>
      </c>
      <c r="E538" s="367">
        <v>0</v>
      </c>
      <c r="F538" s="365">
        <v>0</v>
      </c>
      <c r="G538" s="3"/>
      <c r="H538" s="19"/>
      <c r="L538" s="22"/>
      <c r="M538" s="19"/>
      <c r="P538" s="22"/>
      <c r="V538" s="163"/>
      <c r="W538" s="151"/>
      <c r="Y538" s="151" t="s">
        <v>32</v>
      </c>
      <c r="Z538" s="151">
        <v>1</v>
      </c>
      <c r="AA538" s="19">
        <v>5.0449999999999999</v>
      </c>
      <c r="AB538" s="19">
        <v>0</v>
      </c>
      <c r="AC538" s="19">
        <v>0</v>
      </c>
    </row>
    <row r="539" spans="2:29" x14ac:dyDescent="0.25">
      <c r="B539" s="2" t="s">
        <v>33</v>
      </c>
      <c r="C539" s="367">
        <v>2</v>
      </c>
      <c r="D539" s="534">
        <v>18.16</v>
      </c>
      <c r="E539" s="367">
        <v>0</v>
      </c>
      <c r="F539" s="365">
        <v>0</v>
      </c>
      <c r="G539" s="3"/>
      <c r="H539" s="319"/>
      <c r="L539" s="22"/>
      <c r="M539" s="19"/>
      <c r="P539" s="22"/>
      <c r="V539" s="163"/>
      <c r="W539" s="151"/>
      <c r="Y539" s="151" t="s">
        <v>33</v>
      </c>
      <c r="Z539" s="151">
        <v>1</v>
      </c>
      <c r="AA539" s="19">
        <v>4.9169999999999998</v>
      </c>
      <c r="AB539" s="19">
        <v>0</v>
      </c>
      <c r="AC539" s="19">
        <v>0</v>
      </c>
    </row>
    <row r="540" spans="2:29" x14ac:dyDescent="0.25">
      <c r="B540" s="2" t="s">
        <v>34</v>
      </c>
      <c r="C540" s="367">
        <v>1</v>
      </c>
      <c r="D540" s="534">
        <v>8.3290000000000006</v>
      </c>
      <c r="E540" s="367">
        <v>0</v>
      </c>
      <c r="F540" s="365">
        <v>0</v>
      </c>
      <c r="G540" s="3"/>
      <c r="H540" s="19"/>
      <c r="L540" s="22"/>
      <c r="M540" s="19"/>
      <c r="P540" s="22"/>
      <c r="V540" s="163"/>
      <c r="W540" s="151"/>
      <c r="Y540" s="151" t="s">
        <v>34</v>
      </c>
      <c r="Z540" s="151">
        <v>1</v>
      </c>
      <c r="AA540" s="19">
        <v>5.0640000000000001</v>
      </c>
      <c r="AB540" s="19">
        <v>0</v>
      </c>
      <c r="AC540" s="19">
        <v>0</v>
      </c>
    </row>
    <row r="541" spans="2:29" hidden="1" x14ac:dyDescent="0.25">
      <c r="B541" s="2" t="s">
        <v>35</v>
      </c>
      <c r="C541" s="367">
        <v>0</v>
      </c>
      <c r="D541" s="534">
        <v>0</v>
      </c>
      <c r="E541" s="367">
        <v>0</v>
      </c>
      <c r="F541" s="365">
        <v>0</v>
      </c>
      <c r="G541" s="3"/>
      <c r="H541" s="19"/>
      <c r="L541" s="22"/>
      <c r="M541" s="19"/>
      <c r="P541" s="22"/>
      <c r="V541" s="163"/>
      <c r="W541" s="151"/>
      <c r="Y541" s="151" t="s">
        <v>35</v>
      </c>
      <c r="Z541" s="151">
        <v>2</v>
      </c>
      <c r="AA541" s="19">
        <v>12.92</v>
      </c>
      <c r="AB541" s="19">
        <v>1</v>
      </c>
      <c r="AC541" s="19">
        <v>25.288903999999999</v>
      </c>
    </row>
    <row r="542" spans="2:29" hidden="1" x14ac:dyDescent="0.25">
      <c r="B542" s="2" t="s">
        <v>31</v>
      </c>
      <c r="C542" s="367">
        <v>0</v>
      </c>
      <c r="D542" s="534">
        <v>0</v>
      </c>
      <c r="E542" s="367">
        <v>0</v>
      </c>
      <c r="F542" s="365">
        <v>0</v>
      </c>
      <c r="G542" s="3"/>
      <c r="H542" s="19"/>
      <c r="L542" s="22"/>
      <c r="M542" s="19"/>
      <c r="P542" s="22"/>
      <c r="V542" s="163"/>
      <c r="W542" s="151"/>
      <c r="Y542" s="151" t="s">
        <v>31</v>
      </c>
      <c r="Z542" s="151">
        <v>0</v>
      </c>
      <c r="AA542" s="19">
        <v>0</v>
      </c>
      <c r="AB542" s="19">
        <v>0</v>
      </c>
      <c r="AC542" s="19">
        <v>0</v>
      </c>
    </row>
    <row r="543" spans="2:29" hidden="1" x14ac:dyDescent="0.25">
      <c r="B543" s="2" t="s">
        <v>36</v>
      </c>
      <c r="C543" s="367">
        <v>0</v>
      </c>
      <c r="D543" s="534">
        <v>0</v>
      </c>
      <c r="E543" s="367">
        <v>0</v>
      </c>
      <c r="F543" s="365">
        <v>0</v>
      </c>
      <c r="G543" s="3"/>
      <c r="H543" s="19"/>
      <c r="L543" s="22"/>
      <c r="M543" s="19"/>
      <c r="P543" s="22"/>
      <c r="V543" s="163"/>
      <c r="W543" s="151"/>
      <c r="Y543" s="151" t="s">
        <v>36</v>
      </c>
      <c r="Z543" s="151">
        <v>0</v>
      </c>
      <c r="AA543" s="19">
        <v>0</v>
      </c>
      <c r="AB543" s="19">
        <v>0</v>
      </c>
      <c r="AC543" s="19">
        <v>0</v>
      </c>
    </row>
    <row r="544" spans="2:29" hidden="1" x14ac:dyDescent="0.25">
      <c r="B544" s="2" t="s">
        <v>37</v>
      </c>
      <c r="C544" s="367">
        <v>0</v>
      </c>
      <c r="D544" s="534">
        <v>0</v>
      </c>
      <c r="E544" s="367">
        <v>0</v>
      </c>
      <c r="F544" s="365">
        <v>0</v>
      </c>
      <c r="G544" s="3"/>
      <c r="H544" s="19"/>
      <c r="L544" s="22"/>
      <c r="M544" s="19"/>
      <c r="P544" s="22"/>
      <c r="V544" s="163"/>
      <c r="W544" s="151"/>
      <c r="Y544" s="151" t="s">
        <v>37</v>
      </c>
      <c r="Z544" s="151">
        <v>0</v>
      </c>
      <c r="AA544" s="19">
        <v>0</v>
      </c>
      <c r="AB544" s="19">
        <v>0</v>
      </c>
      <c r="AC544" s="19">
        <v>0</v>
      </c>
    </row>
    <row r="545" spans="2:29" hidden="1" x14ac:dyDescent="0.25">
      <c r="B545" s="2" t="s">
        <v>38</v>
      </c>
      <c r="C545" s="367">
        <v>0</v>
      </c>
      <c r="D545" s="534">
        <v>0</v>
      </c>
      <c r="E545" s="367">
        <v>0</v>
      </c>
      <c r="F545" s="365">
        <v>0</v>
      </c>
      <c r="G545" s="3"/>
      <c r="H545" s="19"/>
      <c r="L545" s="22"/>
      <c r="M545" s="19"/>
      <c r="P545" s="22"/>
      <c r="V545" s="163"/>
      <c r="W545" s="151"/>
      <c r="Y545" s="151" t="s">
        <v>38</v>
      </c>
      <c r="Z545" s="151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39</v>
      </c>
      <c r="C546" s="367">
        <v>0</v>
      </c>
      <c r="D546" s="534">
        <v>0</v>
      </c>
      <c r="E546" s="367">
        <v>0</v>
      </c>
      <c r="F546" s="365">
        <v>0</v>
      </c>
      <c r="G546" s="3"/>
      <c r="H546" s="19"/>
      <c r="L546" s="22"/>
      <c r="M546" s="19"/>
      <c r="P546" s="22"/>
      <c r="V546" s="163"/>
      <c r="W546" s="151"/>
      <c r="Y546" s="151" t="s">
        <v>39</v>
      </c>
      <c r="Z546" s="151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40</v>
      </c>
      <c r="C547" s="367">
        <v>0</v>
      </c>
      <c r="D547" s="534">
        <v>0</v>
      </c>
      <c r="E547" s="367">
        <v>0</v>
      </c>
      <c r="F547" s="365">
        <v>0</v>
      </c>
      <c r="G547" s="3"/>
      <c r="H547" s="19"/>
      <c r="L547" s="22"/>
      <c r="M547" s="19"/>
      <c r="P547" s="22"/>
      <c r="V547" s="163"/>
      <c r="W547" s="151"/>
      <c r="Y547" s="151" t="s">
        <v>40</v>
      </c>
      <c r="Z547" s="151">
        <v>0</v>
      </c>
      <c r="AA547" s="19">
        <v>18022000</v>
      </c>
      <c r="AB547" s="19">
        <v>0</v>
      </c>
      <c r="AC547" s="19">
        <v>0</v>
      </c>
    </row>
    <row r="548" spans="2:29" hidden="1" x14ac:dyDescent="0.25">
      <c r="B548" s="2" t="s">
        <v>60</v>
      </c>
      <c r="C548" s="367">
        <v>0</v>
      </c>
      <c r="D548" s="534">
        <v>0</v>
      </c>
      <c r="E548" s="367">
        <v>0</v>
      </c>
      <c r="F548" s="365">
        <v>0</v>
      </c>
      <c r="G548" s="3"/>
      <c r="H548" s="19"/>
      <c r="L548" s="22"/>
      <c r="M548" s="19"/>
      <c r="P548" s="22"/>
      <c r="V548" s="163"/>
      <c r="W548" s="151"/>
      <c r="Y548" s="151" t="s">
        <v>60</v>
      </c>
      <c r="Z548" s="151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D549" s="534"/>
      <c r="F549" s="12"/>
      <c r="G549" s="3"/>
      <c r="H549" s="19"/>
      <c r="L549" s="22"/>
      <c r="M549" s="19"/>
      <c r="P549" s="22"/>
      <c r="V549" s="163"/>
      <c r="W549" s="151"/>
      <c r="AA549" s="19"/>
    </row>
    <row r="550" spans="2:29" x14ac:dyDescent="0.25">
      <c r="B550" s="532" t="s">
        <v>6</v>
      </c>
      <c r="C550" s="533">
        <f>SUM(C537:C549)</f>
        <v>7</v>
      </c>
      <c r="D550" s="535">
        <f>SUM(D537:D548)</f>
        <v>71.452593000000007</v>
      </c>
      <c r="E550" s="533">
        <f>SUM(E537:E548)</f>
        <v>0</v>
      </c>
      <c r="F550" s="435">
        <f>SUM(F537:F548)</f>
        <v>0</v>
      </c>
      <c r="G550" s="3"/>
      <c r="H550" s="19"/>
      <c r="L550" s="22"/>
      <c r="M550" s="19"/>
      <c r="P550" s="22"/>
      <c r="V550" s="163"/>
      <c r="W550" s="151"/>
      <c r="Y550" s="151" t="s">
        <v>6</v>
      </c>
      <c r="Z550" s="151">
        <v>6</v>
      </c>
      <c r="AA550" s="19">
        <v>33.311999999999998</v>
      </c>
      <c r="AB550" s="19">
        <v>1</v>
      </c>
      <c r="AC550" s="19">
        <v>25.288903999999999</v>
      </c>
    </row>
    <row r="554" spans="2:29" ht="29.5" customHeight="1" x14ac:dyDescent="0.25">
      <c r="B554" s="664" t="s">
        <v>259</v>
      </c>
      <c r="C554" s="664"/>
      <c r="D554" s="664"/>
      <c r="E554" s="581"/>
      <c r="F554" s="581"/>
      <c r="G554" s="581"/>
    </row>
    <row r="555" spans="2:29" ht="13" x14ac:dyDescent="0.25">
      <c r="B555" s="710" t="s">
        <v>431</v>
      </c>
      <c r="C555" s="711"/>
      <c r="D555" s="711"/>
      <c r="E555" s="711"/>
      <c r="F555" s="711"/>
      <c r="G555" s="711"/>
      <c r="H555" s="25"/>
      <c r="I555" s="25"/>
      <c r="J555" s="2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710"/>
      <c r="C556" s="711"/>
      <c r="D556" s="711"/>
      <c r="E556" s="711"/>
      <c r="F556" s="711"/>
      <c r="G556" s="711"/>
      <c r="H556" s="25"/>
      <c r="I556" s="25"/>
      <c r="J556" s="25"/>
      <c r="K556" s="25"/>
      <c r="L556" s="25"/>
      <c r="M556" s="25"/>
      <c r="N556" s="25"/>
      <c r="O556" s="25"/>
      <c r="P556" s="22"/>
    </row>
    <row r="557" spans="2:29" ht="13.5" thickBot="1" x14ac:dyDescent="0.3">
      <c r="B557" s="712"/>
      <c r="C557" s="713"/>
      <c r="D557" s="713"/>
      <c r="E557" s="713"/>
      <c r="F557" s="713"/>
      <c r="G557" s="713"/>
      <c r="H557" s="25"/>
      <c r="I557" s="25"/>
      <c r="J557" s="25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576" t="s">
        <v>42</v>
      </c>
      <c r="C558" s="577" t="s">
        <v>256</v>
      </c>
      <c r="D558" s="577" t="s">
        <v>402</v>
      </c>
      <c r="E558" s="618" t="s">
        <v>403</v>
      </c>
      <c r="F558" s="577" t="s">
        <v>430</v>
      </c>
      <c r="G558" s="552" t="s">
        <v>257</v>
      </c>
      <c r="H558" s="19"/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39" t="s">
        <v>44</v>
      </c>
      <c r="C559" s="601">
        <v>22</v>
      </c>
      <c r="D559" s="601">
        <v>44</v>
      </c>
      <c r="E559" s="601">
        <v>386</v>
      </c>
      <c r="F559" s="601">
        <v>35</v>
      </c>
      <c r="G559" s="436">
        <v>487</v>
      </c>
      <c r="H559" s="19"/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19" t="s">
        <v>45</v>
      </c>
      <c r="C560" s="622">
        <v>0</v>
      </c>
      <c r="D560" s="622">
        <v>116</v>
      </c>
      <c r="E560" s="622">
        <v>187</v>
      </c>
      <c r="F560" s="622">
        <v>67</v>
      </c>
      <c r="G560" s="436">
        <v>370</v>
      </c>
      <c r="H560" s="19"/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19" t="s">
        <v>46</v>
      </c>
      <c r="C561" s="622">
        <v>0</v>
      </c>
      <c r="D561" s="622">
        <v>0</v>
      </c>
      <c r="E561" s="622">
        <v>4</v>
      </c>
      <c r="F561" s="622">
        <v>0</v>
      </c>
      <c r="G561" s="436">
        <v>4</v>
      </c>
      <c r="H561" s="19"/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19" t="s">
        <v>47</v>
      </c>
      <c r="C562" s="622">
        <v>0</v>
      </c>
      <c r="D562" s="622">
        <v>10</v>
      </c>
      <c r="E562" s="622">
        <v>18</v>
      </c>
      <c r="F562" s="622">
        <v>9</v>
      </c>
      <c r="G562" s="436">
        <v>37</v>
      </c>
      <c r="H562" s="19"/>
      <c r="M562" s="19"/>
      <c r="Q562" s="19"/>
    </row>
    <row r="563" spans="2:27" ht="16" customHeight="1" x14ac:dyDescent="0.25">
      <c r="B563" s="619" t="s">
        <v>48</v>
      </c>
      <c r="C563" s="622">
        <v>2</v>
      </c>
      <c r="D563" s="622">
        <v>9</v>
      </c>
      <c r="E563" s="622">
        <v>2</v>
      </c>
      <c r="F563" s="622">
        <v>2</v>
      </c>
      <c r="G563" s="436">
        <v>15</v>
      </c>
      <c r="H563" s="19"/>
      <c r="M563" s="19"/>
      <c r="Q563" s="19"/>
    </row>
    <row r="564" spans="2:27" ht="16" customHeight="1" x14ac:dyDescent="0.25">
      <c r="B564" s="619" t="s">
        <v>49</v>
      </c>
      <c r="C564" s="622">
        <v>0</v>
      </c>
      <c r="D564" s="622">
        <v>25</v>
      </c>
      <c r="E564" s="622">
        <v>40</v>
      </c>
      <c r="F564" s="622">
        <v>20</v>
      </c>
      <c r="G564" s="436">
        <v>85</v>
      </c>
      <c r="H564" s="19"/>
      <c r="M564" s="19"/>
      <c r="Q564" s="19"/>
    </row>
    <row r="565" spans="2:27" ht="16" customHeight="1" x14ac:dyDescent="0.25">
      <c r="B565" s="619" t="s">
        <v>92</v>
      </c>
      <c r="C565" s="622">
        <v>0</v>
      </c>
      <c r="D565" s="622">
        <v>61</v>
      </c>
      <c r="E565" s="622">
        <v>70</v>
      </c>
      <c r="F565" s="622">
        <v>1</v>
      </c>
      <c r="G565" s="436">
        <v>132</v>
      </c>
      <c r="H565" s="19"/>
      <c r="M565" s="19"/>
      <c r="Q565" s="19"/>
    </row>
    <row r="566" spans="2:27" ht="16" customHeight="1" x14ac:dyDescent="0.25">
      <c r="B566" s="619" t="s">
        <v>188</v>
      </c>
      <c r="C566" s="622">
        <v>0</v>
      </c>
      <c r="D566" s="622">
        <v>8</v>
      </c>
      <c r="E566" s="622">
        <v>20</v>
      </c>
      <c r="F566" s="622">
        <v>11</v>
      </c>
      <c r="G566" s="436">
        <v>39</v>
      </c>
      <c r="H566" s="19"/>
      <c r="M566" s="19"/>
      <c r="Q566" s="19"/>
    </row>
    <row r="567" spans="2:27" ht="16" customHeight="1" x14ac:dyDescent="0.25">
      <c r="B567" s="619" t="s">
        <v>50</v>
      </c>
      <c r="C567" s="622">
        <v>0</v>
      </c>
      <c r="D567" s="622">
        <v>3</v>
      </c>
      <c r="E567" s="622">
        <v>13</v>
      </c>
      <c r="F567" s="622">
        <v>47</v>
      </c>
      <c r="G567" s="436">
        <v>63</v>
      </c>
      <c r="H567" s="19"/>
      <c r="M567" s="19"/>
      <c r="Q567" s="19"/>
    </row>
    <row r="568" spans="2:27" ht="16" customHeight="1" x14ac:dyDescent="0.25">
      <c r="B568" s="619" t="s">
        <v>189</v>
      </c>
      <c r="C568" s="622">
        <v>0</v>
      </c>
      <c r="D568" s="622">
        <v>15</v>
      </c>
      <c r="E568" s="622">
        <v>23</v>
      </c>
      <c r="F568" s="622">
        <v>0</v>
      </c>
      <c r="G568" s="436">
        <v>38</v>
      </c>
      <c r="H568" s="19"/>
      <c r="M568" s="19"/>
      <c r="Q568" s="19"/>
    </row>
    <row r="569" spans="2:27" ht="16" customHeight="1" x14ac:dyDescent="0.25">
      <c r="B569" s="619" t="s">
        <v>190</v>
      </c>
      <c r="C569" s="622">
        <v>0</v>
      </c>
      <c r="D569" s="622">
        <v>0</v>
      </c>
      <c r="E569" s="622">
        <v>0</v>
      </c>
      <c r="F569" s="622">
        <v>0</v>
      </c>
      <c r="G569" s="436">
        <v>0</v>
      </c>
      <c r="H569" s="19"/>
      <c r="M569" s="19"/>
      <c r="Q569" s="19"/>
    </row>
    <row r="570" spans="2:27" ht="16" customHeight="1" x14ac:dyDescent="0.25">
      <c r="B570" s="619" t="s">
        <v>61</v>
      </c>
      <c r="C570" s="622">
        <v>0</v>
      </c>
      <c r="D570" s="622">
        <v>0</v>
      </c>
      <c r="E570" s="622">
        <v>8</v>
      </c>
      <c r="F570" s="622">
        <v>0</v>
      </c>
      <c r="G570" s="436">
        <v>8</v>
      </c>
      <c r="H570" s="19"/>
      <c r="M570" s="19"/>
      <c r="Q570" s="19"/>
    </row>
    <row r="571" spans="2:27" ht="16" customHeight="1" x14ac:dyDescent="0.25">
      <c r="B571" s="619" t="s">
        <v>191</v>
      </c>
      <c r="C571" s="622">
        <v>0</v>
      </c>
      <c r="D571" s="622">
        <v>3</v>
      </c>
      <c r="E571" s="622">
        <v>2</v>
      </c>
      <c r="F571" s="622">
        <v>0</v>
      </c>
      <c r="G571" s="436">
        <v>5</v>
      </c>
      <c r="H571" s="19"/>
      <c r="M571" s="19"/>
      <c r="Q571" s="19"/>
    </row>
    <row r="572" spans="2:27" ht="16" customHeight="1" x14ac:dyDescent="0.25">
      <c r="B572" s="619" t="s">
        <v>192</v>
      </c>
      <c r="C572" s="622">
        <v>0</v>
      </c>
      <c r="D572" s="622">
        <v>2</v>
      </c>
      <c r="E572" s="622">
        <v>27</v>
      </c>
      <c r="F572" s="622">
        <v>0</v>
      </c>
      <c r="G572" s="436">
        <v>29</v>
      </c>
      <c r="H572" s="19"/>
      <c r="M572" s="19"/>
      <c r="Q572" s="19"/>
    </row>
    <row r="573" spans="2:27" ht="16" customHeight="1" x14ac:dyDescent="0.25">
      <c r="B573" s="619" t="s">
        <v>101</v>
      </c>
      <c r="C573" s="622">
        <v>0</v>
      </c>
      <c r="D573" s="622">
        <v>4</v>
      </c>
      <c r="E573" s="622">
        <v>35</v>
      </c>
      <c r="F573" s="622">
        <v>0</v>
      </c>
      <c r="G573" s="436">
        <v>39</v>
      </c>
      <c r="H573" s="19"/>
      <c r="M573" s="19"/>
      <c r="Q573" s="19"/>
    </row>
    <row r="574" spans="2:27" ht="16" customHeight="1" x14ac:dyDescent="0.25">
      <c r="B574" s="619" t="s">
        <v>116</v>
      </c>
      <c r="C574" s="622">
        <v>0</v>
      </c>
      <c r="D574" s="622">
        <v>0</v>
      </c>
      <c r="E574" s="622">
        <v>0</v>
      </c>
      <c r="F574" s="622">
        <v>0</v>
      </c>
      <c r="G574" s="436">
        <v>0</v>
      </c>
      <c r="H574" s="19"/>
      <c r="M574" s="19"/>
      <c r="Q574" s="19"/>
    </row>
    <row r="575" spans="2:27" ht="16" customHeight="1" x14ac:dyDescent="0.25">
      <c r="B575" s="619" t="s">
        <v>218</v>
      </c>
      <c r="C575" s="622">
        <v>0</v>
      </c>
      <c r="D575" s="622">
        <v>0</v>
      </c>
      <c r="E575" s="622">
        <v>52</v>
      </c>
      <c r="F575" s="622">
        <v>6</v>
      </c>
      <c r="G575" s="436">
        <v>58</v>
      </c>
      <c r="H575" s="19"/>
      <c r="M575" s="19"/>
      <c r="Q575" s="19"/>
    </row>
    <row r="576" spans="2:27" ht="16" customHeight="1" x14ac:dyDescent="0.25">
      <c r="B576" s="619" t="s">
        <v>193</v>
      </c>
      <c r="C576" s="622">
        <v>0</v>
      </c>
      <c r="D576" s="622">
        <v>0</v>
      </c>
      <c r="E576" s="622">
        <v>1</v>
      </c>
      <c r="F576" s="622">
        <v>0</v>
      </c>
      <c r="G576" s="436">
        <v>1</v>
      </c>
      <c r="H576" s="19"/>
      <c r="M576" s="19"/>
      <c r="Q576" s="19"/>
    </row>
    <row r="577" spans="2:27" ht="16" customHeight="1" x14ac:dyDescent="0.25">
      <c r="B577" s="619" t="s">
        <v>97</v>
      </c>
      <c r="C577" s="622">
        <v>0</v>
      </c>
      <c r="D577" s="622">
        <v>0</v>
      </c>
      <c r="E577" s="622">
        <v>1</v>
      </c>
      <c r="F577" s="622">
        <v>0</v>
      </c>
      <c r="G577" s="436">
        <v>1</v>
      </c>
      <c r="H577" s="19"/>
      <c r="M577" s="19"/>
      <c r="Q577" s="19"/>
    </row>
    <row r="578" spans="2:27" ht="16" customHeight="1" x14ac:dyDescent="0.25">
      <c r="B578" s="619" t="s">
        <v>168</v>
      </c>
      <c r="C578" s="622">
        <v>0</v>
      </c>
      <c r="D578" s="622">
        <v>0</v>
      </c>
      <c r="E578" s="622">
        <v>0</v>
      </c>
      <c r="F578" s="622">
        <v>0</v>
      </c>
      <c r="G578" s="436">
        <v>0</v>
      </c>
      <c r="H578" s="19"/>
      <c r="M578" s="19"/>
      <c r="Q578" s="19"/>
    </row>
    <row r="579" spans="2:27" ht="16" customHeight="1" x14ac:dyDescent="0.25">
      <c r="B579" s="619" t="s">
        <v>183</v>
      </c>
      <c r="C579" s="622">
        <v>0</v>
      </c>
      <c r="D579" s="622">
        <v>0</v>
      </c>
      <c r="E579" s="622">
        <v>0</v>
      </c>
      <c r="F579" s="622">
        <v>0</v>
      </c>
      <c r="G579" s="436">
        <v>0</v>
      </c>
      <c r="H579" s="19"/>
      <c r="M579" s="19"/>
      <c r="Q579" s="19"/>
    </row>
    <row r="580" spans="2:27" ht="16" customHeight="1" x14ac:dyDescent="0.25">
      <c r="B580" s="619" t="s">
        <v>208</v>
      </c>
      <c r="C580" s="622">
        <v>0</v>
      </c>
      <c r="D580" s="622">
        <v>0</v>
      </c>
      <c r="E580" s="622">
        <v>0</v>
      </c>
      <c r="F580" s="622">
        <v>0</v>
      </c>
      <c r="G580" s="436">
        <v>0</v>
      </c>
      <c r="H580" s="19"/>
      <c r="M580" s="19"/>
      <c r="Q580" s="19"/>
    </row>
    <row r="581" spans="2:27" ht="16" customHeight="1" x14ac:dyDescent="0.25">
      <c r="B581" s="619" t="s">
        <v>206</v>
      </c>
      <c r="C581" s="622">
        <v>5</v>
      </c>
      <c r="D581" s="622">
        <v>26</v>
      </c>
      <c r="E581" s="622">
        <v>0</v>
      </c>
      <c r="F581" s="622">
        <v>19</v>
      </c>
      <c r="G581" s="436">
        <v>50</v>
      </c>
      <c r="H581" s="19"/>
      <c r="M581" s="19"/>
      <c r="Q581" s="19"/>
    </row>
    <row r="582" spans="2:27" ht="16" customHeight="1" x14ac:dyDescent="0.25">
      <c r="B582" s="619" t="s">
        <v>184</v>
      </c>
      <c r="C582" s="622">
        <v>6</v>
      </c>
      <c r="D582" s="622">
        <v>0</v>
      </c>
      <c r="E582" s="622">
        <v>28</v>
      </c>
      <c r="F582" s="622">
        <v>0</v>
      </c>
      <c r="G582" s="436">
        <v>34</v>
      </c>
      <c r="H582" s="19"/>
      <c r="M582" s="19"/>
      <c r="Q582" s="19"/>
    </row>
    <row r="583" spans="2:27" ht="16" customHeight="1" x14ac:dyDescent="0.25">
      <c r="B583" s="620" t="s">
        <v>288</v>
      </c>
      <c r="C583" s="622">
        <v>0</v>
      </c>
      <c r="D583" s="622">
        <v>0</v>
      </c>
      <c r="E583" s="622">
        <v>0</v>
      </c>
      <c r="F583" s="622">
        <v>0</v>
      </c>
      <c r="G583" s="436">
        <v>0</v>
      </c>
      <c r="H583" s="19"/>
      <c r="M583" s="19"/>
      <c r="Q583" s="19"/>
    </row>
    <row r="584" spans="2:27" ht="16" customHeight="1" x14ac:dyDescent="0.25">
      <c r="B584" s="620" t="s">
        <v>128</v>
      </c>
      <c r="C584" s="623">
        <v>0</v>
      </c>
      <c r="D584" s="623">
        <v>0</v>
      </c>
      <c r="E584" s="623">
        <v>0</v>
      </c>
      <c r="F584" s="623">
        <v>0</v>
      </c>
      <c r="G584" s="436">
        <v>0</v>
      </c>
      <c r="H584" s="19"/>
      <c r="M584" s="19"/>
      <c r="Q584" s="19"/>
    </row>
    <row r="585" spans="2:27" ht="16" customHeight="1" x14ac:dyDescent="0.25">
      <c r="B585" s="619" t="s">
        <v>322</v>
      </c>
      <c r="C585" s="623">
        <v>0</v>
      </c>
      <c r="D585" s="623">
        <v>9</v>
      </c>
      <c r="E585" s="623">
        <v>14</v>
      </c>
      <c r="F585" s="623">
        <v>0</v>
      </c>
      <c r="G585" s="436">
        <v>23</v>
      </c>
      <c r="H585" s="19"/>
      <c r="M585" s="19"/>
      <c r="Q585" s="19"/>
    </row>
    <row r="586" spans="2:27" ht="16" customHeight="1" x14ac:dyDescent="0.25">
      <c r="B586" s="621" t="s">
        <v>258</v>
      </c>
      <c r="C586" s="624">
        <v>35</v>
      </c>
      <c r="D586" s="624">
        <v>335</v>
      </c>
      <c r="E586" s="624">
        <v>931</v>
      </c>
      <c r="F586" s="624">
        <v>217</v>
      </c>
      <c r="G586" s="436">
        <v>1518</v>
      </c>
      <c r="H586" s="19"/>
      <c r="M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2:27" ht="13" hidden="1" x14ac:dyDescent="0.25">
      <c r="B587" s="579"/>
      <c r="C587" s="580"/>
      <c r="D587" s="580"/>
      <c r="E587" s="580"/>
      <c r="F587" s="582"/>
      <c r="G587" s="582"/>
      <c r="H587" s="582"/>
      <c r="I587" s="582"/>
      <c r="J587" s="582"/>
      <c r="K587" s="582"/>
      <c r="L587" s="582"/>
      <c r="M587" s="582"/>
      <c r="N587" s="583"/>
      <c r="O587" s="583"/>
    </row>
    <row r="588" spans="2:27" x14ac:dyDescent="0.25">
      <c r="M588" s="23"/>
    </row>
    <row r="589" spans="2:27" ht="23.15" customHeight="1" x14ac:dyDescent="0.25">
      <c r="B589" s="714" t="s">
        <v>432</v>
      </c>
      <c r="C589" s="711"/>
      <c r="D589" s="711"/>
      <c r="E589" s="711"/>
      <c r="F589" s="711"/>
      <c r="G589" s="711"/>
      <c r="H589" s="25"/>
      <c r="I589" s="25"/>
      <c r="J589" s="25"/>
      <c r="K589" s="25"/>
      <c r="L589" s="25"/>
      <c r="M589" s="25"/>
      <c r="N589" s="25"/>
      <c r="O589" s="25"/>
      <c r="P589" s="151"/>
    </row>
    <row r="590" spans="2:27" ht="23.15" customHeight="1" thickBot="1" x14ac:dyDescent="0.3">
      <c r="B590" s="715"/>
      <c r="C590" s="713"/>
      <c r="D590" s="713"/>
      <c r="E590" s="713"/>
      <c r="F590" s="713"/>
      <c r="G590" s="713"/>
      <c r="H590" s="25"/>
      <c r="I590" s="25"/>
      <c r="J590" s="25"/>
      <c r="K590" s="25"/>
      <c r="L590" s="25"/>
      <c r="M590" s="25"/>
      <c r="N590" s="25"/>
      <c r="O590" s="25"/>
      <c r="P590" s="151"/>
    </row>
    <row r="591" spans="2:27" ht="25.5" customHeight="1" thickBot="1" x14ac:dyDescent="0.3">
      <c r="B591" s="576" t="s">
        <v>42</v>
      </c>
      <c r="C591" s="577" t="s">
        <v>256</v>
      </c>
      <c r="D591" s="577" t="s">
        <v>402</v>
      </c>
      <c r="E591" s="618" t="s">
        <v>403</v>
      </c>
      <c r="F591" s="577" t="s">
        <v>430</v>
      </c>
      <c r="G591" s="577" t="s">
        <v>257</v>
      </c>
      <c r="H591" s="19"/>
      <c r="M591" s="19"/>
      <c r="Q591" s="19"/>
    </row>
    <row r="592" spans="2:27" ht="16" customHeight="1" x14ac:dyDescent="0.25">
      <c r="B592" s="539" t="s">
        <v>44</v>
      </c>
      <c r="C592" s="437">
        <v>8</v>
      </c>
      <c r="D592" s="437">
        <v>7</v>
      </c>
      <c r="E592" s="437">
        <v>26</v>
      </c>
      <c r="F592" s="437">
        <v>120</v>
      </c>
      <c r="G592" s="437">
        <v>161</v>
      </c>
      <c r="H592" s="19"/>
      <c r="M592" s="19"/>
      <c r="Q592" s="19"/>
    </row>
    <row r="593" spans="2:17" ht="16" customHeight="1" x14ac:dyDescent="0.25">
      <c r="B593" s="619" t="s">
        <v>45</v>
      </c>
      <c r="C593" s="437">
        <v>90</v>
      </c>
      <c r="D593" s="437">
        <v>158</v>
      </c>
      <c r="E593" s="437">
        <v>137</v>
      </c>
      <c r="F593" s="437">
        <v>94</v>
      </c>
      <c r="G593" s="437">
        <v>479</v>
      </c>
      <c r="H593" s="19"/>
      <c r="M593" s="19"/>
      <c r="Q593" s="19"/>
    </row>
    <row r="594" spans="2:17" ht="16" customHeight="1" x14ac:dyDescent="0.25">
      <c r="B594" s="619" t="s">
        <v>46</v>
      </c>
      <c r="C594" s="437">
        <v>1</v>
      </c>
      <c r="D594" s="437">
        <v>3</v>
      </c>
      <c r="E594" s="437">
        <v>4</v>
      </c>
      <c r="F594" s="437">
        <v>5</v>
      </c>
      <c r="G594" s="437">
        <v>13</v>
      </c>
      <c r="H594" s="19"/>
      <c r="M594" s="19"/>
      <c r="Q594" s="19"/>
    </row>
    <row r="595" spans="2:17" ht="16" customHeight="1" x14ac:dyDescent="0.25">
      <c r="B595" s="619" t="s">
        <v>47</v>
      </c>
      <c r="C595" s="437">
        <v>3</v>
      </c>
      <c r="D595" s="437">
        <v>154</v>
      </c>
      <c r="E595" s="437">
        <v>3</v>
      </c>
      <c r="F595" s="437">
        <v>0</v>
      </c>
      <c r="G595" s="437">
        <v>160</v>
      </c>
      <c r="H595" s="19"/>
      <c r="M595" s="19"/>
      <c r="Q595" s="19"/>
    </row>
    <row r="596" spans="2:17" ht="16" customHeight="1" x14ac:dyDescent="0.25">
      <c r="B596" s="619" t="s">
        <v>48</v>
      </c>
      <c r="C596" s="437">
        <v>0</v>
      </c>
      <c r="D596" s="437">
        <v>0</v>
      </c>
      <c r="E596" s="437">
        <v>0</v>
      </c>
      <c r="F596" s="437">
        <v>0</v>
      </c>
      <c r="G596" s="437">
        <v>0</v>
      </c>
      <c r="H596" s="19"/>
      <c r="M596" s="19"/>
      <c r="Q596" s="19"/>
    </row>
    <row r="597" spans="2:17" ht="16" customHeight="1" x14ac:dyDescent="0.25">
      <c r="B597" s="619" t="s">
        <v>49</v>
      </c>
      <c r="C597" s="437">
        <v>1</v>
      </c>
      <c r="D597" s="437">
        <v>2</v>
      </c>
      <c r="E597" s="437">
        <v>0</v>
      </c>
      <c r="F597" s="437">
        <v>0</v>
      </c>
      <c r="G597" s="437">
        <v>3</v>
      </c>
      <c r="H597" s="19"/>
      <c r="M597" s="19"/>
      <c r="Q597" s="19"/>
    </row>
    <row r="598" spans="2:17" ht="16" customHeight="1" x14ac:dyDescent="0.25">
      <c r="B598" s="619" t="s">
        <v>92</v>
      </c>
      <c r="C598" s="437">
        <v>15</v>
      </c>
      <c r="D598" s="437">
        <v>16</v>
      </c>
      <c r="E598" s="437">
        <v>3</v>
      </c>
      <c r="F598" s="437">
        <v>1</v>
      </c>
      <c r="G598" s="437">
        <v>35</v>
      </c>
      <c r="H598" s="19"/>
      <c r="M598" s="19"/>
      <c r="Q598" s="19"/>
    </row>
    <row r="599" spans="2:17" ht="16" customHeight="1" x14ac:dyDescent="0.25">
      <c r="B599" s="619" t="s">
        <v>188</v>
      </c>
      <c r="C599" s="437">
        <v>1</v>
      </c>
      <c r="D599" s="437">
        <v>93</v>
      </c>
      <c r="E599" s="437">
        <v>44</v>
      </c>
      <c r="F599" s="437">
        <v>5</v>
      </c>
      <c r="G599" s="437">
        <v>143</v>
      </c>
      <c r="H599" s="19"/>
      <c r="M599" s="19"/>
      <c r="Q599" s="19"/>
    </row>
    <row r="600" spans="2:17" ht="16" customHeight="1" x14ac:dyDescent="0.25">
      <c r="B600" s="619" t="s">
        <v>50</v>
      </c>
      <c r="C600" s="437">
        <v>4</v>
      </c>
      <c r="D600" s="437">
        <v>4</v>
      </c>
      <c r="E600" s="437">
        <v>8</v>
      </c>
      <c r="F600" s="437">
        <v>20</v>
      </c>
      <c r="G600" s="437">
        <v>36</v>
      </c>
      <c r="H600" s="19"/>
      <c r="M600" s="19"/>
      <c r="Q600" s="19"/>
    </row>
    <row r="601" spans="2:17" ht="16" customHeight="1" x14ac:dyDescent="0.25">
      <c r="B601" s="619" t="s">
        <v>189</v>
      </c>
      <c r="C601" s="437">
        <v>1</v>
      </c>
      <c r="D601" s="437">
        <v>2</v>
      </c>
      <c r="E601" s="437">
        <v>8</v>
      </c>
      <c r="F601" s="437">
        <v>5</v>
      </c>
      <c r="G601" s="437">
        <v>16</v>
      </c>
      <c r="H601" s="19"/>
      <c r="M601" s="19"/>
      <c r="Q601" s="19"/>
    </row>
    <row r="602" spans="2:17" ht="16" customHeight="1" x14ac:dyDescent="0.25">
      <c r="B602" s="619" t="s">
        <v>190</v>
      </c>
      <c r="C602" s="437">
        <v>0</v>
      </c>
      <c r="D602" s="437">
        <v>0</v>
      </c>
      <c r="E602" s="437">
        <v>0</v>
      </c>
      <c r="F602" s="437">
        <v>0</v>
      </c>
      <c r="G602" s="437">
        <v>0</v>
      </c>
      <c r="H602" s="19"/>
      <c r="M602" s="19"/>
      <c r="Q602" s="19"/>
    </row>
    <row r="603" spans="2:17" ht="16" customHeight="1" x14ac:dyDescent="0.25">
      <c r="B603" s="619" t="s">
        <v>61</v>
      </c>
      <c r="C603" s="437">
        <v>0</v>
      </c>
      <c r="D603" s="437">
        <v>0</v>
      </c>
      <c r="E603" s="437">
        <v>0</v>
      </c>
      <c r="F603" s="437">
        <v>0</v>
      </c>
      <c r="G603" s="437">
        <v>0</v>
      </c>
      <c r="H603" s="19"/>
      <c r="M603" s="19"/>
      <c r="Q603" s="19"/>
    </row>
    <row r="604" spans="2:17" ht="16" customHeight="1" x14ac:dyDescent="0.25">
      <c r="B604" s="619" t="s">
        <v>191</v>
      </c>
      <c r="C604" s="437">
        <v>0</v>
      </c>
      <c r="D604" s="437">
        <v>0</v>
      </c>
      <c r="E604" s="437">
        <v>0</v>
      </c>
      <c r="F604" s="437">
        <v>0</v>
      </c>
      <c r="G604" s="437">
        <v>0</v>
      </c>
      <c r="H604" s="19"/>
      <c r="M604" s="19"/>
      <c r="Q604" s="19"/>
    </row>
    <row r="605" spans="2:17" ht="16" customHeight="1" x14ac:dyDescent="0.25">
      <c r="B605" s="619" t="s">
        <v>192</v>
      </c>
      <c r="C605" s="437">
        <v>0</v>
      </c>
      <c r="D605" s="437">
        <v>0</v>
      </c>
      <c r="E605" s="437">
        <v>1</v>
      </c>
      <c r="F605" s="437">
        <v>1</v>
      </c>
      <c r="G605" s="437">
        <v>2</v>
      </c>
      <c r="H605" s="19"/>
      <c r="M605" s="19"/>
      <c r="Q605" s="19"/>
    </row>
    <row r="606" spans="2:17" ht="16" customHeight="1" x14ac:dyDescent="0.25">
      <c r="B606" s="619" t="s">
        <v>101</v>
      </c>
      <c r="C606" s="437">
        <v>6</v>
      </c>
      <c r="D606" s="437">
        <v>4</v>
      </c>
      <c r="E606" s="437">
        <v>2</v>
      </c>
      <c r="F606" s="437">
        <v>2</v>
      </c>
      <c r="G606" s="437">
        <v>14</v>
      </c>
      <c r="H606" s="19"/>
      <c r="M606" s="19"/>
      <c r="Q606" s="19"/>
    </row>
    <row r="607" spans="2:17" ht="16" customHeight="1" x14ac:dyDescent="0.25">
      <c r="B607" s="619" t="s">
        <v>116</v>
      </c>
      <c r="C607" s="437">
        <v>0</v>
      </c>
      <c r="D607" s="437">
        <v>0</v>
      </c>
      <c r="E607" s="437">
        <v>0</v>
      </c>
      <c r="F607" s="437">
        <v>0</v>
      </c>
      <c r="G607" s="437">
        <v>0</v>
      </c>
      <c r="H607" s="19"/>
      <c r="M607" s="19"/>
      <c r="Q607" s="19"/>
    </row>
    <row r="608" spans="2:17" ht="16" customHeight="1" x14ac:dyDescent="0.25">
      <c r="B608" s="619" t="s">
        <v>218</v>
      </c>
      <c r="C608" s="437">
        <v>0</v>
      </c>
      <c r="D608" s="437">
        <v>0</v>
      </c>
      <c r="E608" s="437">
        <v>1</v>
      </c>
      <c r="F608" s="437">
        <v>3</v>
      </c>
      <c r="G608" s="437">
        <v>4</v>
      </c>
      <c r="H608" s="19"/>
      <c r="M608" s="19"/>
      <c r="Q608" s="19"/>
    </row>
    <row r="609" spans="2:27" ht="16" customHeight="1" x14ac:dyDescent="0.25">
      <c r="B609" s="619" t="s">
        <v>193</v>
      </c>
      <c r="C609" s="437">
        <v>0</v>
      </c>
      <c r="D609" s="437">
        <v>0</v>
      </c>
      <c r="E609" s="437">
        <v>0</v>
      </c>
      <c r="F609" s="437">
        <v>0</v>
      </c>
      <c r="G609" s="437">
        <v>0</v>
      </c>
      <c r="H609" s="19"/>
      <c r="M609" s="19"/>
      <c r="Q609" s="19"/>
    </row>
    <row r="610" spans="2:27" ht="16" customHeight="1" x14ac:dyDescent="0.25">
      <c r="B610" s="619" t="s">
        <v>97</v>
      </c>
      <c r="C610" s="437">
        <v>0</v>
      </c>
      <c r="D610" s="437">
        <v>0</v>
      </c>
      <c r="E610" s="437">
        <v>0</v>
      </c>
      <c r="F610" s="437">
        <v>0</v>
      </c>
      <c r="G610" s="437">
        <v>0</v>
      </c>
      <c r="H610" s="19"/>
      <c r="M610" s="19"/>
      <c r="Q610" s="19"/>
    </row>
    <row r="611" spans="2:27" ht="16" customHeight="1" x14ac:dyDescent="0.25">
      <c r="B611" s="619" t="s">
        <v>168</v>
      </c>
      <c r="C611" s="437">
        <v>0</v>
      </c>
      <c r="D611" s="437">
        <v>0</v>
      </c>
      <c r="E611" s="437">
        <v>0</v>
      </c>
      <c r="F611" s="437">
        <v>0</v>
      </c>
      <c r="G611" s="437">
        <v>0</v>
      </c>
      <c r="H611" s="19"/>
      <c r="M611" s="19"/>
      <c r="Q611" s="19"/>
    </row>
    <row r="612" spans="2:27" ht="16" customHeight="1" x14ac:dyDescent="0.25">
      <c r="B612" s="619" t="s">
        <v>183</v>
      </c>
      <c r="C612" s="437">
        <v>0</v>
      </c>
      <c r="D612" s="437">
        <v>0</v>
      </c>
      <c r="E612" s="437">
        <v>0</v>
      </c>
      <c r="F612" s="437">
        <v>0</v>
      </c>
      <c r="G612" s="437">
        <v>0</v>
      </c>
      <c r="H612" s="19"/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19" t="s">
        <v>208</v>
      </c>
      <c r="C613" s="437">
        <v>0</v>
      </c>
      <c r="D613" s="437">
        <v>0</v>
      </c>
      <c r="E613" s="437">
        <v>0</v>
      </c>
      <c r="F613" s="437">
        <v>0</v>
      </c>
      <c r="G613" s="437">
        <v>0</v>
      </c>
      <c r="H613" s="19"/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19" t="s">
        <v>206</v>
      </c>
      <c r="C614" s="437">
        <v>2</v>
      </c>
      <c r="D614" s="437">
        <v>0</v>
      </c>
      <c r="E614" s="437">
        <v>4</v>
      </c>
      <c r="F614" s="437">
        <v>1</v>
      </c>
      <c r="G614" s="437">
        <v>7</v>
      </c>
      <c r="H614" s="19"/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19" t="s">
        <v>184</v>
      </c>
      <c r="C615" s="437">
        <v>5</v>
      </c>
      <c r="D615" s="437">
        <v>13</v>
      </c>
      <c r="E615" s="437">
        <v>8</v>
      </c>
      <c r="F615" s="437">
        <v>3</v>
      </c>
      <c r="G615" s="437">
        <v>29</v>
      </c>
      <c r="H615" s="19"/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19" t="s">
        <v>128</v>
      </c>
      <c r="C616" s="437">
        <v>0</v>
      </c>
      <c r="D616" s="437">
        <v>0</v>
      </c>
      <c r="E616" s="437">
        <v>0</v>
      </c>
      <c r="F616" s="437">
        <v>0</v>
      </c>
      <c r="G616" s="437">
        <v>0</v>
      </c>
      <c r="H616" s="19"/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19" t="s">
        <v>322</v>
      </c>
      <c r="C617" s="437">
        <v>0</v>
      </c>
      <c r="D617" s="437">
        <v>0</v>
      </c>
      <c r="E617" s="437">
        <v>0</v>
      </c>
      <c r="F617" s="437">
        <v>2</v>
      </c>
      <c r="G617" s="437">
        <v>2</v>
      </c>
      <c r="H617" s="19"/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ht="16" customHeight="1" x14ac:dyDescent="0.25">
      <c r="B618" s="585" t="s">
        <v>258</v>
      </c>
      <c r="C618" s="437">
        <v>137</v>
      </c>
      <c r="D618" s="437">
        <v>456</v>
      </c>
      <c r="E618" s="437">
        <v>249</v>
      </c>
      <c r="F618" s="437">
        <v>262</v>
      </c>
      <c r="G618" s="437">
        <v>1104</v>
      </c>
      <c r="H618" s="19"/>
      <c r="M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2:27" x14ac:dyDescent="0.25">
      <c r="E619" s="151"/>
      <c r="F619" s="151"/>
      <c r="G619" s="151"/>
      <c r="H619" s="151"/>
      <c r="I619" s="151"/>
      <c r="J619" s="151"/>
      <c r="K619" s="151"/>
      <c r="L619" s="151"/>
      <c r="M619" s="151"/>
      <c r="N619" s="151"/>
      <c r="O619" s="151"/>
    </row>
    <row r="623" spans="2:27" ht="18.649999999999999" customHeight="1" x14ac:dyDescent="0.25">
      <c r="B623" s="664" t="s">
        <v>269</v>
      </c>
      <c r="C623" s="664"/>
      <c r="D623" s="664"/>
      <c r="E623" s="664"/>
      <c r="F623" s="664"/>
      <c r="G623" s="664"/>
    </row>
    <row r="624" spans="2:27" x14ac:dyDescent="0.25">
      <c r="D624" s="2"/>
      <c r="F624" s="12"/>
      <c r="G624" s="3"/>
      <c r="H624" s="19"/>
      <c r="L624" s="22"/>
      <c r="M624" s="19"/>
      <c r="P624" s="22"/>
      <c r="V624" s="163"/>
      <c r="W624" s="151"/>
      <c r="AA624" s="19"/>
    </row>
    <row r="625" spans="2:28" x14ac:dyDescent="0.25">
      <c r="D625" s="2"/>
      <c r="F625" s="12"/>
      <c r="G625" s="3"/>
      <c r="H625" s="19"/>
      <c r="L625" s="22"/>
      <c r="M625" s="19"/>
      <c r="P625" s="22"/>
      <c r="V625" s="163"/>
      <c r="W625" s="151"/>
      <c r="AA625" s="19"/>
    </row>
    <row r="626" spans="2:28" x14ac:dyDescent="0.35">
      <c r="B626" s="424" t="s">
        <v>28</v>
      </c>
      <c r="C626" s="368" t="s">
        <v>260</v>
      </c>
      <c r="D626" s="422" t="s">
        <v>261</v>
      </c>
      <c r="E626" s="385"/>
      <c r="F626" s="12"/>
      <c r="G626" s="3"/>
      <c r="H626" s="19"/>
      <c r="L626" s="22"/>
      <c r="M626" s="19"/>
      <c r="P626" s="22"/>
      <c r="V626" s="163"/>
      <c r="W626" s="151"/>
      <c r="X626" s="361"/>
      <c r="Z626" s="351" t="s">
        <v>28</v>
      </c>
      <c r="AA626" s="351" t="s">
        <v>5</v>
      </c>
      <c r="AB626" s="351" t="s">
        <v>220</v>
      </c>
    </row>
    <row r="627" spans="2:28" x14ac:dyDescent="0.35">
      <c r="B627" s="419" t="s">
        <v>59</v>
      </c>
      <c r="C627" s="367">
        <v>769</v>
      </c>
      <c r="D627" s="367">
        <v>76</v>
      </c>
      <c r="E627" s="374"/>
      <c r="F627" s="161"/>
      <c r="G627" s="3"/>
      <c r="H627" s="19"/>
      <c r="L627" s="22"/>
      <c r="M627" s="19"/>
      <c r="P627" s="22"/>
      <c r="V627" s="163"/>
      <c r="W627" s="361">
        <f>C627/C641</f>
        <v>0.22167771692130298</v>
      </c>
      <c r="X627" s="361">
        <f>D627/C641</f>
        <v>2.1908330931104066E-2</v>
      </c>
      <c r="Y627" s="164"/>
      <c r="Z627" s="352" t="s">
        <v>252</v>
      </c>
      <c r="AA627" s="3">
        <v>614</v>
      </c>
      <c r="AB627" s="3">
        <v>68</v>
      </c>
    </row>
    <row r="628" spans="2:28" x14ac:dyDescent="0.35">
      <c r="B628" s="419" t="s">
        <v>32</v>
      </c>
      <c r="C628" s="367">
        <v>742</v>
      </c>
      <c r="D628" s="367">
        <v>67</v>
      </c>
      <c r="E628" s="374"/>
      <c r="F628" s="161"/>
      <c r="G628" s="3"/>
      <c r="H628" s="19"/>
      <c r="L628" s="22"/>
      <c r="M628" s="19"/>
      <c r="P628" s="22"/>
      <c r="V628" s="163"/>
      <c r="W628" s="360">
        <f>C628/C641</f>
        <v>0.213894494090516</v>
      </c>
      <c r="X628" s="361">
        <f>D628/C641</f>
        <v>1.9313923320841742E-2</v>
      </c>
      <c r="Z628" s="352" t="s">
        <v>253</v>
      </c>
      <c r="AA628" s="3">
        <v>1296</v>
      </c>
      <c r="AB628" s="3">
        <v>125</v>
      </c>
    </row>
    <row r="629" spans="2:28" x14ac:dyDescent="0.35">
      <c r="B629" s="419" t="s">
        <v>33</v>
      </c>
      <c r="C629" s="367">
        <v>774</v>
      </c>
      <c r="D629" s="367">
        <v>84</v>
      </c>
      <c r="E629" s="374"/>
      <c r="F629" s="161"/>
      <c r="G629" s="3"/>
      <c r="H629" s="19"/>
      <c r="L629" s="22"/>
      <c r="M629" s="19"/>
      <c r="P629" s="22"/>
      <c r="V629" s="163"/>
      <c r="W629" s="360">
        <f>C629/C641</f>
        <v>0.22311905448255981</v>
      </c>
      <c r="X629" s="361">
        <f>D629/C641</f>
        <v>2.4214471029115017E-2</v>
      </c>
      <c r="Z629" s="352" t="s">
        <v>254</v>
      </c>
      <c r="AA629" s="3">
        <v>949</v>
      </c>
      <c r="AB629" s="3">
        <v>92</v>
      </c>
    </row>
    <row r="630" spans="2:28" x14ac:dyDescent="0.35">
      <c r="B630" s="419" t="s">
        <v>34</v>
      </c>
      <c r="C630" s="367">
        <v>864</v>
      </c>
      <c r="D630" s="367">
        <v>93</v>
      </c>
      <c r="E630" s="374"/>
      <c r="F630" s="161"/>
      <c r="G630" s="3"/>
      <c r="H630" s="19"/>
      <c r="L630" s="22"/>
      <c r="M630" s="19"/>
      <c r="P630" s="22"/>
      <c r="V630" s="163"/>
      <c r="W630" s="360">
        <f>C630/C641</f>
        <v>0.24906313058518306</v>
      </c>
      <c r="X630" s="361">
        <f>D630/C641</f>
        <v>2.6808878639377341E-2</v>
      </c>
      <c r="Z630" s="352" t="s">
        <v>255</v>
      </c>
      <c r="AA630" s="3">
        <v>712</v>
      </c>
      <c r="AB630" s="3">
        <v>58</v>
      </c>
    </row>
    <row r="631" spans="2:28" hidden="1" x14ac:dyDescent="0.35">
      <c r="B631" s="419" t="s">
        <v>35</v>
      </c>
      <c r="C631" s="367">
        <v>0</v>
      </c>
      <c r="D631" s="367">
        <v>0</v>
      </c>
      <c r="E631" s="374"/>
      <c r="F631" s="161"/>
      <c r="G631" s="3"/>
      <c r="H631" s="19"/>
      <c r="L631" s="22"/>
      <c r="M631" s="19"/>
      <c r="P631" s="22"/>
      <c r="V631" s="163"/>
      <c r="W631" s="360">
        <f>C631/C641</f>
        <v>0</v>
      </c>
      <c r="X631" s="361">
        <f>D631/C641</f>
        <v>0</v>
      </c>
      <c r="Z631" s="359" t="s">
        <v>264</v>
      </c>
      <c r="AA631" s="3">
        <v>955</v>
      </c>
      <c r="AB631" s="3">
        <v>88</v>
      </c>
    </row>
    <row r="632" spans="2:28" hidden="1" x14ac:dyDescent="0.35">
      <c r="B632" s="419" t="s">
        <v>31</v>
      </c>
      <c r="C632" s="367">
        <v>0</v>
      </c>
      <c r="D632" s="367">
        <v>0</v>
      </c>
      <c r="E632" s="399"/>
      <c r="F632" s="12"/>
      <c r="G632" s="3"/>
      <c r="H632" s="19"/>
      <c r="L632" s="22"/>
      <c r="M632" s="19"/>
      <c r="P632" s="22"/>
      <c r="V632" s="163"/>
      <c r="W632" s="121">
        <f>C632/C641</f>
        <v>0</v>
      </c>
      <c r="X632" s="361">
        <f>D632/C641</f>
        <v>0</v>
      </c>
      <c r="Z632" s="359" t="s">
        <v>268</v>
      </c>
      <c r="AA632" s="353">
        <v>1224</v>
      </c>
      <c r="AB632" s="354">
        <v>125</v>
      </c>
    </row>
    <row r="633" spans="2:28" hidden="1" x14ac:dyDescent="0.35">
      <c r="B633" s="419" t="s">
        <v>36</v>
      </c>
      <c r="C633" s="367">
        <v>0</v>
      </c>
      <c r="D633" s="367">
        <v>0</v>
      </c>
      <c r="E633" s="399"/>
      <c r="F633" s="12"/>
      <c r="G633" s="3"/>
      <c r="H633" s="19"/>
      <c r="L633" s="22"/>
      <c r="M633" s="19"/>
      <c r="P633" s="22"/>
      <c r="V633" s="163"/>
      <c r="W633" s="121">
        <f>+C633/C641</f>
        <v>0</v>
      </c>
      <c r="X633" s="361">
        <f>+D633/C641</f>
        <v>0</v>
      </c>
      <c r="Z633" s="352" t="s">
        <v>224</v>
      </c>
      <c r="AA633" s="353"/>
      <c r="AB633" s="354"/>
    </row>
    <row r="634" spans="2:28" hidden="1" x14ac:dyDescent="0.35">
      <c r="B634" s="419" t="s">
        <v>37</v>
      </c>
      <c r="C634" s="367">
        <v>0</v>
      </c>
      <c r="D634" s="367">
        <v>0</v>
      </c>
      <c r="E634" s="399"/>
      <c r="F634" s="12"/>
      <c r="G634" s="3"/>
      <c r="H634" s="19"/>
      <c r="L634" s="22"/>
      <c r="M634" s="19"/>
      <c r="P634" s="22"/>
      <c r="V634" s="163"/>
      <c r="W634" s="121">
        <f>+C634/C641</f>
        <v>0</v>
      </c>
      <c r="X634" s="361">
        <f>+D634/C641</f>
        <v>0</v>
      </c>
      <c r="Z634" s="352" t="s">
        <v>225</v>
      </c>
      <c r="AA634" s="353"/>
      <c r="AB634" s="354"/>
    </row>
    <row r="635" spans="2:28" hidden="1" x14ac:dyDescent="0.35">
      <c r="B635" s="419" t="s">
        <v>38</v>
      </c>
      <c r="C635" s="367">
        <v>0</v>
      </c>
      <c r="D635" s="367">
        <v>0</v>
      </c>
      <c r="E635" s="399"/>
      <c r="F635" s="12"/>
      <c r="G635" s="3"/>
      <c r="H635" s="19"/>
      <c r="L635" s="22"/>
      <c r="M635" s="19"/>
      <c r="P635" s="22"/>
      <c r="V635" s="163"/>
      <c r="W635" s="121">
        <f>+C635/C641</f>
        <v>0</v>
      </c>
      <c r="X635" s="361">
        <f>+D635/C641</f>
        <v>0</v>
      </c>
      <c r="Z635" s="352" t="s">
        <v>226</v>
      </c>
      <c r="AA635" s="353"/>
      <c r="AB635" s="354"/>
    </row>
    <row r="636" spans="2:28" hidden="1" x14ac:dyDescent="0.35">
      <c r="B636" s="419" t="s">
        <v>39</v>
      </c>
      <c r="C636" s="367">
        <v>0</v>
      </c>
      <c r="D636" s="367">
        <v>0</v>
      </c>
      <c r="E636" s="399"/>
      <c r="F636" s="12"/>
      <c r="G636" s="3"/>
      <c r="H636" s="19"/>
      <c r="L636" s="22"/>
      <c r="M636" s="19"/>
      <c r="P636" s="22"/>
      <c r="V636" s="163"/>
      <c r="W636" s="121">
        <f>+C636/C641</f>
        <v>0</v>
      </c>
      <c r="X636" s="361">
        <f>+D636/C641</f>
        <v>0</v>
      </c>
      <c r="Z636" s="352" t="s">
        <v>227</v>
      </c>
      <c r="AA636" s="353"/>
      <c r="AB636" s="354"/>
    </row>
    <row r="637" spans="2:28" hidden="1" x14ac:dyDescent="0.35">
      <c r="B637" s="419" t="s">
        <v>40</v>
      </c>
      <c r="C637" s="367">
        <v>0</v>
      </c>
      <c r="D637" s="367">
        <v>0</v>
      </c>
      <c r="E637" s="399"/>
      <c r="F637" s="12"/>
      <c r="G637" s="3"/>
      <c r="H637" s="19"/>
      <c r="L637" s="22"/>
      <c r="M637" s="19"/>
      <c r="P637" s="22"/>
      <c r="V637" s="163"/>
      <c r="W637" s="151"/>
      <c r="X637" s="361"/>
      <c r="Z637" s="352" t="s">
        <v>228</v>
      </c>
      <c r="AA637" s="353"/>
      <c r="AB637" s="354"/>
    </row>
    <row r="638" spans="2:28" hidden="1" x14ac:dyDescent="0.35">
      <c r="B638" s="419" t="s">
        <v>60</v>
      </c>
      <c r="C638" s="367">
        <v>0</v>
      </c>
      <c r="D638" s="367">
        <v>0</v>
      </c>
      <c r="E638" s="399"/>
      <c r="F638" s="12"/>
      <c r="G638" s="3"/>
      <c r="H638" s="19"/>
      <c r="L638" s="22"/>
      <c r="M638" s="19"/>
      <c r="P638" s="22"/>
      <c r="V638" s="163"/>
      <c r="W638" s="151"/>
      <c r="X638" s="361"/>
      <c r="Z638" s="352" t="s">
        <v>229</v>
      </c>
      <c r="AA638" s="353"/>
      <c r="AB638" s="354"/>
    </row>
    <row r="639" spans="2:28" hidden="1" x14ac:dyDescent="0.25">
      <c r="B639" s="403"/>
      <c r="E639" s="403"/>
      <c r="F639" s="12"/>
      <c r="G639" s="3"/>
      <c r="H639" s="19"/>
      <c r="L639" s="22"/>
      <c r="M639" s="19"/>
      <c r="P639" s="22"/>
      <c r="V639" s="163"/>
      <c r="W639" s="151"/>
      <c r="X639" s="361"/>
      <c r="Z639" s="305"/>
      <c r="AA639" s="306"/>
      <c r="AB639" s="307"/>
    </row>
    <row r="640" spans="2:28" x14ac:dyDescent="0.25">
      <c r="B640" s="428" t="s">
        <v>6</v>
      </c>
      <c r="C640" s="368">
        <f>SUM(C627:C639)</f>
        <v>3149</v>
      </c>
      <c r="D640" s="536">
        <f>SUM(D627:D639)</f>
        <v>320</v>
      </c>
      <c r="E640" s="490"/>
      <c r="F640" s="12"/>
      <c r="G640" s="3"/>
      <c r="H640" s="19"/>
      <c r="L640" s="22"/>
      <c r="M640" s="19"/>
      <c r="P640" s="22"/>
      <c r="V640" s="163"/>
      <c r="W640" s="361"/>
      <c r="X640" s="361"/>
      <c r="Z640" s="305" t="s">
        <v>230</v>
      </c>
      <c r="AA640" s="308"/>
      <c r="AB640" s="309"/>
    </row>
    <row r="641" spans="2:29" x14ac:dyDescent="0.25">
      <c r="B641" s="537" t="s">
        <v>265</v>
      </c>
      <c r="C641" s="538">
        <f>C640+D640</f>
        <v>3469</v>
      </c>
      <c r="D641" s="538"/>
      <c r="X641" s="362">
        <f>+C640/C641</f>
        <v>0.90775439607956188</v>
      </c>
      <c r="Y641" s="363">
        <f>+D640/C641</f>
        <v>9.2245603920438166E-2</v>
      </c>
      <c r="AA641" s="169"/>
      <c r="AB641" s="169">
        <f>SUM(AA627:AA640)</f>
        <v>5750</v>
      </c>
      <c r="AC641" s="169">
        <f>SUM(AB627:AB640)</f>
        <v>556</v>
      </c>
    </row>
    <row r="642" spans="2:29" x14ac:dyDescent="0.25">
      <c r="C642" s="374"/>
      <c r="D642" s="374"/>
      <c r="E642" s="383"/>
    </row>
  </sheetData>
  <mergeCells count="113">
    <mergeCell ref="B554:D554"/>
    <mergeCell ref="B623:G623"/>
    <mergeCell ref="G456:J456"/>
    <mergeCell ref="G455:J455"/>
    <mergeCell ref="G423:J423"/>
    <mergeCell ref="G424:J424"/>
    <mergeCell ref="B534:F534"/>
    <mergeCell ref="B330:E332"/>
    <mergeCell ref="B555:G557"/>
    <mergeCell ref="B589:G590"/>
    <mergeCell ref="B457:B458"/>
    <mergeCell ref="C457:C458"/>
    <mergeCell ref="B520:B521"/>
    <mergeCell ref="B487:F487"/>
    <mergeCell ref="B517:E518"/>
    <mergeCell ref="B424:E424"/>
    <mergeCell ref="B423:E423"/>
    <mergeCell ref="B456:E456"/>
    <mergeCell ref="B455:E455"/>
    <mergeCell ref="B337:E337"/>
    <mergeCell ref="K340:L340"/>
    <mergeCell ref="B425:B426"/>
    <mergeCell ref="C425:C426"/>
    <mergeCell ref="C339:H339"/>
    <mergeCell ref="B266:G266"/>
    <mergeCell ref="M340:N340"/>
    <mergeCell ref="F340:H340"/>
    <mergeCell ref="K339:N339"/>
    <mergeCell ref="C340:E340"/>
    <mergeCell ref="A421:E421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J457:J458"/>
    <mergeCell ref="D457:D458"/>
    <mergeCell ref="E457:E458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K171:L171"/>
    <mergeCell ref="B312:C312"/>
    <mergeCell ref="B304:E306"/>
    <mergeCell ref="E289:F289"/>
    <mergeCell ref="C289:D289"/>
    <mergeCell ref="G289:H289"/>
    <mergeCell ref="B287:E287"/>
    <mergeCell ref="AL208:AN208"/>
    <mergeCell ref="AH222:AI222"/>
    <mergeCell ref="AH225:AI225"/>
    <mergeCell ref="AH228:AI228"/>
    <mergeCell ref="AH219:AI219"/>
    <mergeCell ref="B215:E215"/>
    <mergeCell ref="X243:AA243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W97:Y98"/>
    <mergeCell ref="B169:E169"/>
    <mergeCell ref="B241:E241"/>
    <mergeCell ref="F241:H241"/>
    <mergeCell ref="C208:D208"/>
    <mergeCell ref="C207:D207"/>
    <mergeCell ref="G208:H208"/>
    <mergeCell ref="G207:H207"/>
    <mergeCell ref="AB171:AC171"/>
    <mergeCell ref="AD171:AE171"/>
    <mergeCell ref="AF171:AG171"/>
    <mergeCell ref="Z171:AA171"/>
    <mergeCell ref="X171:Y171"/>
    <mergeCell ref="B205:E205"/>
    <mergeCell ref="B97:D97"/>
    <mergeCell ref="B111:D111"/>
    <mergeCell ref="B125:D125"/>
    <mergeCell ref="B139:D139"/>
    <mergeCell ref="B148:D150"/>
    <mergeCell ref="B156:D15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166:E166"/>
  </mergeCells>
  <phoneticPr fontId="297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263"/>
  <sheetViews>
    <sheetView zoomScale="90" zoomScaleNormal="90" workbookViewId="0">
      <selection activeCell="E11" sqref="E11"/>
    </sheetView>
  </sheetViews>
  <sheetFormatPr baseColWidth="10" defaultColWidth="11.453125" defaultRowHeight="14.5" x14ac:dyDescent="0.35"/>
  <cols>
    <col min="1" max="2" width="11.453125" style="311"/>
    <col min="3" max="3" width="20.26953125" style="311" customWidth="1"/>
    <col min="4" max="4" width="25.453125" style="311" customWidth="1"/>
    <col min="5" max="5" width="31.453125" style="311" customWidth="1"/>
    <col min="6" max="6" width="15.81640625" style="311" customWidth="1"/>
    <col min="7" max="7" width="16.453125" style="311" bestFit="1" customWidth="1"/>
    <col min="8" max="9" width="11.453125" style="311"/>
    <col min="10" max="11" width="0" style="311" hidden="1" customWidth="1"/>
    <col min="12" max="16384" width="11.453125" style="311"/>
  </cols>
  <sheetData>
    <row r="1" spans="2:10" x14ac:dyDescent="0.35">
      <c r="B1" s="310" t="s">
        <v>68</v>
      </c>
      <c r="C1" s="310" t="s">
        <v>231</v>
      </c>
      <c r="D1" s="310" t="s">
        <v>232</v>
      </c>
      <c r="E1" s="310" t="s">
        <v>233</v>
      </c>
      <c r="F1" s="310" t="s">
        <v>179</v>
      </c>
      <c r="G1" s="310" t="s">
        <v>180</v>
      </c>
      <c r="H1" s="310" t="s">
        <v>181</v>
      </c>
      <c r="I1" s="310" t="s">
        <v>182</v>
      </c>
      <c r="J1" s="310"/>
    </row>
    <row r="2" spans="2:10" x14ac:dyDescent="0.35">
      <c r="B2" s="355">
        <v>4</v>
      </c>
      <c r="C2" s="355" t="s">
        <v>84</v>
      </c>
      <c r="D2" s="355" t="s">
        <v>355</v>
      </c>
      <c r="E2" s="355" t="s">
        <v>452</v>
      </c>
      <c r="F2" s="355">
        <v>6146000</v>
      </c>
      <c r="G2" s="355">
        <v>49467234.399999999</v>
      </c>
      <c r="H2" s="355">
        <v>1</v>
      </c>
      <c r="I2" s="355"/>
      <c r="J2" s="311">
        <v>1</v>
      </c>
    </row>
    <row r="3" spans="2:10" x14ac:dyDescent="0.35">
      <c r="B3" s="355">
        <v>4</v>
      </c>
      <c r="C3" s="355" t="s">
        <v>84</v>
      </c>
      <c r="D3" s="355" t="s">
        <v>301</v>
      </c>
      <c r="E3" s="355" t="s">
        <v>302</v>
      </c>
      <c r="F3" s="355">
        <v>6944000</v>
      </c>
      <c r="G3" s="355">
        <v>56327000</v>
      </c>
      <c r="H3" s="355">
        <v>1</v>
      </c>
      <c r="I3" s="355"/>
      <c r="J3" s="311">
        <v>1</v>
      </c>
    </row>
    <row r="4" spans="2:10" x14ac:dyDescent="0.35">
      <c r="B4" s="355">
        <v>4</v>
      </c>
      <c r="C4" s="355" t="s">
        <v>11</v>
      </c>
      <c r="D4" s="355" t="s">
        <v>85</v>
      </c>
      <c r="E4" s="355" t="s">
        <v>285</v>
      </c>
      <c r="F4" s="355">
        <v>9127000</v>
      </c>
      <c r="G4" s="355">
        <v>29835000</v>
      </c>
      <c r="H4" s="355">
        <v>1</v>
      </c>
      <c r="I4" s="355"/>
      <c r="J4" s="311">
        <v>2</v>
      </c>
    </row>
    <row r="5" spans="2:10" x14ac:dyDescent="0.35">
      <c r="B5" s="355">
        <v>4</v>
      </c>
      <c r="C5" s="355" t="s">
        <v>12</v>
      </c>
      <c r="D5" s="355" t="s">
        <v>12</v>
      </c>
      <c r="E5" s="355" t="s">
        <v>357</v>
      </c>
      <c r="F5" s="355">
        <v>6314000</v>
      </c>
      <c r="G5" s="355">
        <v>49571256.950000003</v>
      </c>
      <c r="H5" s="355">
        <v>1</v>
      </c>
      <c r="I5" s="355"/>
      <c r="J5" s="311">
        <v>2</v>
      </c>
    </row>
    <row r="6" spans="2:10" x14ac:dyDescent="0.35">
      <c r="B6" s="355">
        <v>4</v>
      </c>
      <c r="C6" s="355" t="s">
        <v>12</v>
      </c>
      <c r="D6" s="355" t="s">
        <v>239</v>
      </c>
      <c r="E6" s="355" t="s">
        <v>239</v>
      </c>
      <c r="F6" s="355">
        <v>9254000</v>
      </c>
      <c r="G6" s="355">
        <v>28704000.829999998</v>
      </c>
      <c r="H6" s="355">
        <v>1</v>
      </c>
      <c r="I6" s="355"/>
      <c r="J6" s="311">
        <v>1</v>
      </c>
    </row>
    <row r="7" spans="2:10" x14ac:dyDescent="0.35">
      <c r="B7" s="355">
        <v>4</v>
      </c>
      <c r="C7" s="355" t="s">
        <v>12</v>
      </c>
      <c r="D7" s="355" t="s">
        <v>239</v>
      </c>
      <c r="E7" s="355" t="s">
        <v>381</v>
      </c>
      <c r="F7" s="355">
        <v>8119000</v>
      </c>
      <c r="G7" s="355">
        <v>45750000</v>
      </c>
      <c r="H7" s="355">
        <v>1</v>
      </c>
      <c r="I7" s="355"/>
      <c r="J7" s="311">
        <v>1</v>
      </c>
    </row>
    <row r="8" spans="2:10" x14ac:dyDescent="0.35">
      <c r="B8" s="355">
        <v>4</v>
      </c>
      <c r="C8" s="355" t="s">
        <v>12</v>
      </c>
      <c r="D8" s="355" t="s">
        <v>239</v>
      </c>
      <c r="E8" s="355" t="s">
        <v>453</v>
      </c>
      <c r="F8" s="355">
        <v>7615000</v>
      </c>
      <c r="G8" s="355">
        <v>36500000</v>
      </c>
      <c r="H8" s="355">
        <v>1</v>
      </c>
      <c r="I8" s="355"/>
      <c r="J8" s="311">
        <v>3</v>
      </c>
    </row>
    <row r="9" spans="2:10" x14ac:dyDescent="0.35">
      <c r="B9" s="355">
        <v>4</v>
      </c>
      <c r="C9" s="355" t="s">
        <v>12</v>
      </c>
      <c r="D9" s="355" t="s">
        <v>239</v>
      </c>
      <c r="E9" s="355" t="s">
        <v>358</v>
      </c>
      <c r="F9" s="355">
        <v>9234000</v>
      </c>
      <c r="G9" s="355">
        <v>27234488.329999998</v>
      </c>
      <c r="H9" s="355">
        <v>1</v>
      </c>
      <c r="I9" s="355"/>
      <c r="J9" s="311">
        <v>1</v>
      </c>
    </row>
    <row r="10" spans="2:10" x14ac:dyDescent="0.35">
      <c r="B10" s="355">
        <v>4</v>
      </c>
      <c r="C10" s="355" t="s">
        <v>12</v>
      </c>
      <c r="D10" s="355" t="s">
        <v>72</v>
      </c>
      <c r="E10" s="355" t="s">
        <v>72</v>
      </c>
      <c r="F10" s="355">
        <v>6440000</v>
      </c>
      <c r="G10" s="355">
        <v>41800000</v>
      </c>
      <c r="H10" s="355">
        <v>1</v>
      </c>
      <c r="I10" s="355"/>
      <c r="J10" s="311">
        <v>2</v>
      </c>
    </row>
    <row r="11" spans="2:10" x14ac:dyDescent="0.35">
      <c r="B11" s="355">
        <v>4</v>
      </c>
      <c r="C11" s="355" t="s">
        <v>12</v>
      </c>
      <c r="D11" s="355" t="s">
        <v>360</v>
      </c>
      <c r="E11" s="355" t="s">
        <v>454</v>
      </c>
      <c r="F11" s="355">
        <v>8497000</v>
      </c>
      <c r="G11" s="355">
        <v>33497000</v>
      </c>
      <c r="H11" s="355">
        <v>1</v>
      </c>
      <c r="I11" s="355"/>
      <c r="J11" s="311">
        <v>1</v>
      </c>
    </row>
    <row r="12" spans="2:10" x14ac:dyDescent="0.35">
      <c r="B12" s="355">
        <v>4</v>
      </c>
      <c r="C12" s="355" t="s">
        <v>13</v>
      </c>
      <c r="D12" s="355" t="s">
        <v>87</v>
      </c>
      <c r="E12" s="355" t="s">
        <v>282</v>
      </c>
      <c r="F12" s="355">
        <v>9300000</v>
      </c>
      <c r="G12" s="355">
        <v>9500000</v>
      </c>
      <c r="H12" s="355">
        <v>1</v>
      </c>
      <c r="I12" s="355"/>
      <c r="J12" s="311">
        <v>4</v>
      </c>
    </row>
    <row r="13" spans="2:10" x14ac:dyDescent="0.35">
      <c r="B13" s="355">
        <v>4</v>
      </c>
      <c r="C13" s="355" t="s">
        <v>64</v>
      </c>
      <c r="D13" s="355" t="s">
        <v>74</v>
      </c>
      <c r="E13" s="355" t="s">
        <v>377</v>
      </c>
      <c r="F13" s="355">
        <v>9300000</v>
      </c>
      <c r="G13" s="355">
        <v>9600000</v>
      </c>
      <c r="H13" s="355">
        <v>1</v>
      </c>
      <c r="I13" s="355"/>
      <c r="J13" s="311">
        <v>1</v>
      </c>
    </row>
    <row r="14" spans="2:10" x14ac:dyDescent="0.35">
      <c r="B14" s="355">
        <v>4</v>
      </c>
      <c r="C14" s="355" t="s">
        <v>86</v>
      </c>
      <c r="D14" s="355" t="s">
        <v>88</v>
      </c>
      <c r="E14" s="355" t="s">
        <v>283</v>
      </c>
      <c r="F14" s="355">
        <v>8320000</v>
      </c>
      <c r="G14" s="355">
        <v>29008481.149999999</v>
      </c>
      <c r="H14" s="355">
        <v>2</v>
      </c>
      <c r="I14" s="355"/>
      <c r="J14" s="311">
        <v>1</v>
      </c>
    </row>
    <row r="15" spans="2:10" x14ac:dyDescent="0.35">
      <c r="B15" s="355">
        <v>4</v>
      </c>
      <c r="C15" s="355" t="s">
        <v>86</v>
      </c>
      <c r="D15" s="355" t="s">
        <v>363</v>
      </c>
      <c r="E15" s="355" t="s">
        <v>401</v>
      </c>
      <c r="F15" s="355">
        <v>8077000</v>
      </c>
      <c r="G15" s="355">
        <v>25214000</v>
      </c>
      <c r="H15" s="355">
        <v>1</v>
      </c>
      <c r="I15" s="355"/>
      <c r="J15" s="311">
        <v>1</v>
      </c>
    </row>
    <row r="16" spans="2:10" x14ac:dyDescent="0.35">
      <c r="B16" s="355">
        <v>27</v>
      </c>
      <c r="C16" s="355" t="s">
        <v>84</v>
      </c>
      <c r="D16" s="355" t="s">
        <v>77</v>
      </c>
      <c r="E16" s="355" t="s">
        <v>404</v>
      </c>
      <c r="F16" s="355">
        <v>6692000</v>
      </c>
      <c r="G16" s="355">
        <v>63629000</v>
      </c>
      <c r="H16" s="355">
        <v>1</v>
      </c>
      <c r="I16" s="355"/>
      <c r="J16" s="311">
        <v>1</v>
      </c>
    </row>
    <row r="17" spans="2:10" x14ac:dyDescent="0.35">
      <c r="B17" s="355">
        <v>27</v>
      </c>
      <c r="C17" s="355" t="s">
        <v>84</v>
      </c>
      <c r="D17" s="355" t="s">
        <v>455</v>
      </c>
      <c r="E17" s="355" t="s">
        <v>455</v>
      </c>
      <c r="F17" s="355">
        <v>9273000</v>
      </c>
      <c r="G17" s="355">
        <v>28214000</v>
      </c>
      <c r="H17" s="355">
        <v>1</v>
      </c>
      <c r="I17" s="355"/>
      <c r="J17" s="311">
        <v>1</v>
      </c>
    </row>
    <row r="18" spans="2:10" x14ac:dyDescent="0.35">
      <c r="B18" s="355">
        <v>27</v>
      </c>
      <c r="C18" s="355" t="s">
        <v>11</v>
      </c>
      <c r="D18" s="355" t="s">
        <v>11</v>
      </c>
      <c r="E18" s="355" t="s">
        <v>367</v>
      </c>
      <c r="F18" s="355">
        <v>9201000</v>
      </c>
      <c r="G18" s="355">
        <v>34781000</v>
      </c>
      <c r="H18" s="355">
        <v>1</v>
      </c>
      <c r="I18" s="355"/>
      <c r="J18" s="311">
        <v>1</v>
      </c>
    </row>
    <row r="19" spans="2:10" x14ac:dyDescent="0.35">
      <c r="B19" s="355">
        <v>27</v>
      </c>
      <c r="C19" s="355" t="s">
        <v>12</v>
      </c>
      <c r="D19" s="355" t="s">
        <v>12</v>
      </c>
      <c r="E19" s="355" t="s">
        <v>357</v>
      </c>
      <c r="F19" s="355">
        <v>9175000</v>
      </c>
      <c r="G19" s="355">
        <v>39859000</v>
      </c>
      <c r="H19" s="355">
        <v>1</v>
      </c>
      <c r="I19" s="355"/>
      <c r="J19" s="311">
        <v>2</v>
      </c>
    </row>
    <row r="20" spans="2:10" x14ac:dyDescent="0.35">
      <c r="B20" s="355">
        <v>27</v>
      </c>
      <c r="C20" s="355" t="s">
        <v>13</v>
      </c>
      <c r="D20" s="355" t="s">
        <v>13</v>
      </c>
      <c r="E20" s="355" t="s">
        <v>456</v>
      </c>
      <c r="F20" s="355">
        <v>9043000</v>
      </c>
      <c r="G20" s="355">
        <v>50473000</v>
      </c>
      <c r="H20" s="355">
        <v>1</v>
      </c>
      <c r="I20" s="355"/>
      <c r="J20" s="311">
        <v>1</v>
      </c>
    </row>
    <row r="21" spans="2:10" x14ac:dyDescent="0.35">
      <c r="B21" s="355">
        <v>93</v>
      </c>
      <c r="C21" s="355" t="s">
        <v>84</v>
      </c>
      <c r="D21" s="355" t="s">
        <v>84</v>
      </c>
      <c r="E21" s="355" t="s">
        <v>457</v>
      </c>
      <c r="F21" s="355">
        <v>9175000</v>
      </c>
      <c r="G21" s="355">
        <v>32600000</v>
      </c>
      <c r="H21" s="355">
        <v>1</v>
      </c>
      <c r="I21" s="355"/>
      <c r="J21" s="311">
        <v>1</v>
      </c>
    </row>
    <row r="22" spans="2:10" x14ac:dyDescent="0.35">
      <c r="B22" s="355">
        <v>93</v>
      </c>
      <c r="C22" s="355" t="s">
        <v>84</v>
      </c>
      <c r="D22" s="355" t="s">
        <v>355</v>
      </c>
      <c r="E22" s="355" t="s">
        <v>355</v>
      </c>
      <c r="F22" s="355">
        <v>8917000</v>
      </c>
      <c r="G22" s="355">
        <v>24780000</v>
      </c>
      <c r="H22" s="355">
        <v>1</v>
      </c>
      <c r="I22" s="355"/>
      <c r="J22" s="311">
        <v>1</v>
      </c>
    </row>
    <row r="23" spans="2:10" x14ac:dyDescent="0.35">
      <c r="B23" s="355">
        <v>93</v>
      </c>
      <c r="C23" s="355" t="s">
        <v>84</v>
      </c>
      <c r="D23" s="355" t="s">
        <v>348</v>
      </c>
      <c r="E23" s="355" t="s">
        <v>458</v>
      </c>
      <c r="F23" s="355">
        <v>8917000</v>
      </c>
      <c r="G23" s="355">
        <v>31600000</v>
      </c>
      <c r="H23" s="355">
        <v>1</v>
      </c>
      <c r="I23" s="355"/>
      <c r="J23" s="311">
        <v>1</v>
      </c>
    </row>
    <row r="24" spans="2:10" x14ac:dyDescent="0.35">
      <c r="B24" s="355">
        <v>93</v>
      </c>
      <c r="C24" s="355" t="s">
        <v>84</v>
      </c>
      <c r="D24" s="355" t="s">
        <v>77</v>
      </c>
      <c r="E24" s="355" t="s">
        <v>335</v>
      </c>
      <c r="F24" s="355">
        <v>9267000</v>
      </c>
      <c r="G24" s="355">
        <v>22900000</v>
      </c>
      <c r="H24" s="355">
        <v>1</v>
      </c>
      <c r="I24" s="355"/>
      <c r="J24" s="311">
        <v>2</v>
      </c>
    </row>
    <row r="25" spans="2:10" x14ac:dyDescent="0.35">
      <c r="B25" s="355">
        <v>93</v>
      </c>
      <c r="C25" s="355" t="s">
        <v>84</v>
      </c>
      <c r="D25" s="355" t="s">
        <v>301</v>
      </c>
      <c r="E25" s="355" t="s">
        <v>302</v>
      </c>
      <c r="F25" s="355">
        <v>7615000</v>
      </c>
      <c r="G25" s="355">
        <v>31200000</v>
      </c>
      <c r="H25" s="355">
        <v>1</v>
      </c>
      <c r="I25" s="355"/>
      <c r="J25" s="311">
        <v>1</v>
      </c>
    </row>
    <row r="26" spans="2:10" x14ac:dyDescent="0.35">
      <c r="B26" s="355">
        <v>93</v>
      </c>
      <c r="C26" s="355" t="s">
        <v>84</v>
      </c>
      <c r="D26" s="355" t="s">
        <v>336</v>
      </c>
      <c r="E26" s="355" t="s">
        <v>459</v>
      </c>
      <c r="F26" s="355">
        <v>6818000</v>
      </c>
      <c r="G26" s="355">
        <v>31945088.109999999</v>
      </c>
      <c r="H26" s="355">
        <v>1</v>
      </c>
      <c r="I26" s="355"/>
      <c r="J26" s="311">
        <v>1</v>
      </c>
    </row>
    <row r="27" spans="2:10" x14ac:dyDescent="0.35">
      <c r="B27" s="355">
        <v>93</v>
      </c>
      <c r="C27" s="355" t="s">
        <v>84</v>
      </c>
      <c r="D27" s="355" t="s">
        <v>90</v>
      </c>
      <c r="E27" s="355" t="s">
        <v>337</v>
      </c>
      <c r="F27" s="355">
        <v>9241000</v>
      </c>
      <c r="G27" s="355">
        <v>23638000</v>
      </c>
      <c r="H27" s="355">
        <v>1</v>
      </c>
      <c r="I27" s="355"/>
      <c r="J27" s="311">
        <v>1</v>
      </c>
    </row>
    <row r="28" spans="2:10" x14ac:dyDescent="0.35">
      <c r="B28" s="355">
        <v>93</v>
      </c>
      <c r="C28" s="355" t="s">
        <v>84</v>
      </c>
      <c r="D28" s="355" t="s">
        <v>90</v>
      </c>
      <c r="E28" s="355" t="s">
        <v>69</v>
      </c>
      <c r="F28" s="355">
        <v>7909000</v>
      </c>
      <c r="G28" s="355">
        <v>26525000</v>
      </c>
      <c r="H28" s="355">
        <v>1</v>
      </c>
      <c r="I28" s="355"/>
      <c r="J28" s="311">
        <v>1</v>
      </c>
    </row>
    <row r="29" spans="2:10" x14ac:dyDescent="0.35">
      <c r="B29" s="355">
        <v>93</v>
      </c>
      <c r="C29" s="355" t="s">
        <v>84</v>
      </c>
      <c r="D29" s="355" t="s">
        <v>90</v>
      </c>
      <c r="E29" s="355" t="s">
        <v>325</v>
      </c>
      <c r="F29" s="355">
        <v>9195000</v>
      </c>
      <c r="G29" s="355">
        <v>9650000</v>
      </c>
      <c r="H29" s="355">
        <v>1</v>
      </c>
      <c r="I29" s="355"/>
      <c r="J29" s="311">
        <v>4</v>
      </c>
    </row>
    <row r="30" spans="2:10" x14ac:dyDescent="0.35">
      <c r="B30" s="355">
        <v>93</v>
      </c>
      <c r="C30" s="355" t="s">
        <v>84</v>
      </c>
      <c r="D30" s="355" t="s">
        <v>90</v>
      </c>
      <c r="E30" s="355" t="s">
        <v>378</v>
      </c>
      <c r="F30" s="355">
        <v>7867000</v>
      </c>
      <c r="G30" s="355">
        <v>21750000</v>
      </c>
      <c r="H30" s="355">
        <v>1</v>
      </c>
      <c r="I30" s="355"/>
      <c r="J30" s="311">
        <v>1</v>
      </c>
    </row>
    <row r="31" spans="2:10" x14ac:dyDescent="0.35">
      <c r="B31" s="355">
        <v>93</v>
      </c>
      <c r="C31" s="355" t="s">
        <v>11</v>
      </c>
      <c r="D31" s="355" t="s">
        <v>11</v>
      </c>
      <c r="E31" s="355" t="s">
        <v>285</v>
      </c>
      <c r="F31" s="355">
        <v>8119000</v>
      </c>
      <c r="G31" s="355">
        <v>31000000</v>
      </c>
      <c r="H31" s="355">
        <v>1</v>
      </c>
      <c r="I31" s="355"/>
      <c r="J31" s="311">
        <v>1</v>
      </c>
    </row>
    <row r="32" spans="2:10" x14ac:dyDescent="0.35">
      <c r="B32" s="355">
        <v>93</v>
      </c>
      <c r="C32" s="355" t="s">
        <v>11</v>
      </c>
      <c r="D32" s="355" t="s">
        <v>85</v>
      </c>
      <c r="E32" s="355" t="s">
        <v>285</v>
      </c>
      <c r="F32" s="355">
        <v>8497000</v>
      </c>
      <c r="G32" s="355">
        <v>41280062.380000003</v>
      </c>
      <c r="H32" s="355">
        <v>1</v>
      </c>
      <c r="I32" s="355"/>
      <c r="J32" s="311">
        <v>1</v>
      </c>
    </row>
    <row r="33" spans="2:10" x14ac:dyDescent="0.35">
      <c r="B33" s="355">
        <v>93</v>
      </c>
      <c r="C33" s="355" t="s">
        <v>11</v>
      </c>
      <c r="D33" s="355" t="s">
        <v>85</v>
      </c>
      <c r="E33" s="355" t="s">
        <v>380</v>
      </c>
      <c r="F33" s="355">
        <v>7448000</v>
      </c>
      <c r="G33" s="355">
        <v>18867152.859999999</v>
      </c>
      <c r="H33" s="355">
        <v>1</v>
      </c>
      <c r="I33" s="355"/>
      <c r="J33" s="311">
        <v>1</v>
      </c>
    </row>
    <row r="34" spans="2:10" x14ac:dyDescent="0.35">
      <c r="B34" s="355">
        <v>93</v>
      </c>
      <c r="C34" s="355" t="s">
        <v>11</v>
      </c>
      <c r="D34" s="355" t="s">
        <v>373</v>
      </c>
      <c r="E34" s="355" t="s">
        <v>373</v>
      </c>
      <c r="F34" s="355">
        <v>8119000</v>
      </c>
      <c r="G34" s="355">
        <v>39950000</v>
      </c>
      <c r="H34" s="355">
        <v>1</v>
      </c>
      <c r="I34" s="355"/>
      <c r="J34" s="311">
        <v>1</v>
      </c>
    </row>
    <row r="35" spans="2:10" x14ac:dyDescent="0.35">
      <c r="B35" s="355">
        <v>93</v>
      </c>
      <c r="C35" s="355" t="s">
        <v>11</v>
      </c>
      <c r="D35" s="355" t="s">
        <v>385</v>
      </c>
      <c r="E35" s="355" t="s">
        <v>385</v>
      </c>
      <c r="F35" s="355">
        <v>8161000</v>
      </c>
      <c r="G35" s="355">
        <v>30658560</v>
      </c>
      <c r="H35" s="355">
        <v>1</v>
      </c>
      <c r="I35" s="355"/>
      <c r="J35" s="311">
        <v>1</v>
      </c>
    </row>
    <row r="36" spans="2:10" x14ac:dyDescent="0.35">
      <c r="B36" s="355">
        <v>93</v>
      </c>
      <c r="C36" s="355" t="s">
        <v>11</v>
      </c>
      <c r="D36" s="355" t="s">
        <v>338</v>
      </c>
      <c r="E36" s="355" t="s">
        <v>62</v>
      </c>
      <c r="F36" s="355">
        <v>9247000</v>
      </c>
      <c r="G36" s="355">
        <v>24412511.390000001</v>
      </c>
      <c r="H36" s="355">
        <v>1</v>
      </c>
      <c r="I36" s="355"/>
      <c r="J36" s="311">
        <v>1</v>
      </c>
    </row>
    <row r="37" spans="2:10" x14ac:dyDescent="0.35">
      <c r="B37" s="355">
        <v>93</v>
      </c>
      <c r="C37" s="355" t="s">
        <v>11</v>
      </c>
      <c r="D37" s="355" t="s">
        <v>338</v>
      </c>
      <c r="E37" s="355" t="s">
        <v>339</v>
      </c>
      <c r="F37" s="355">
        <v>8245000</v>
      </c>
      <c r="G37" s="355">
        <v>29436000</v>
      </c>
      <c r="H37" s="355">
        <v>1</v>
      </c>
      <c r="I37" s="355"/>
      <c r="J37" s="311">
        <v>1</v>
      </c>
    </row>
    <row r="38" spans="2:10" x14ac:dyDescent="0.35">
      <c r="B38" s="355">
        <v>93</v>
      </c>
      <c r="C38" s="355" t="s">
        <v>11</v>
      </c>
      <c r="D38" s="355" t="s">
        <v>78</v>
      </c>
      <c r="E38" s="355" t="s">
        <v>369</v>
      </c>
      <c r="F38" s="355">
        <v>9127000</v>
      </c>
      <c r="G38" s="355">
        <v>31903659.530000001</v>
      </c>
      <c r="H38" s="355">
        <v>1</v>
      </c>
      <c r="I38" s="355"/>
      <c r="J38" s="311">
        <v>1</v>
      </c>
    </row>
    <row r="39" spans="2:10" x14ac:dyDescent="0.35">
      <c r="B39" s="355">
        <v>93</v>
      </c>
      <c r="C39" s="355" t="s">
        <v>11</v>
      </c>
      <c r="D39" s="355" t="s">
        <v>78</v>
      </c>
      <c r="E39" s="355" t="s">
        <v>79</v>
      </c>
      <c r="F39" s="355">
        <v>9214000</v>
      </c>
      <c r="G39" s="355">
        <v>24447808.170000002</v>
      </c>
      <c r="H39" s="355">
        <v>1</v>
      </c>
      <c r="I39" s="355"/>
      <c r="J39" s="311">
        <v>1</v>
      </c>
    </row>
    <row r="40" spans="2:10" x14ac:dyDescent="0.35">
      <c r="B40" s="355">
        <v>93</v>
      </c>
      <c r="C40" s="355" t="s">
        <v>11</v>
      </c>
      <c r="D40" s="355" t="s">
        <v>78</v>
      </c>
      <c r="E40" s="355" t="s">
        <v>83</v>
      </c>
      <c r="F40" s="355">
        <v>8920333.3333333302</v>
      </c>
      <c r="G40" s="355">
        <v>22838481.3166667</v>
      </c>
      <c r="H40" s="355">
        <v>3</v>
      </c>
      <c r="I40" s="355"/>
      <c r="J40" s="311">
        <v>1</v>
      </c>
    </row>
    <row r="41" spans="2:10" x14ac:dyDescent="0.35">
      <c r="B41" s="355">
        <v>93</v>
      </c>
      <c r="C41" s="355" t="s">
        <v>11</v>
      </c>
      <c r="D41" s="355" t="s">
        <v>78</v>
      </c>
      <c r="E41" s="355" t="s">
        <v>303</v>
      </c>
      <c r="F41" s="355">
        <v>8833000</v>
      </c>
      <c r="G41" s="355">
        <v>33495105.875</v>
      </c>
      <c r="H41" s="355">
        <v>2</v>
      </c>
      <c r="I41" s="355"/>
      <c r="J41" s="311">
        <v>1</v>
      </c>
    </row>
    <row r="42" spans="2:10" x14ac:dyDescent="0.35">
      <c r="B42" s="355">
        <v>93</v>
      </c>
      <c r="C42" s="355" t="s">
        <v>11</v>
      </c>
      <c r="D42" s="355" t="s">
        <v>78</v>
      </c>
      <c r="E42" s="355" t="s">
        <v>389</v>
      </c>
      <c r="F42" s="355">
        <v>9188000</v>
      </c>
      <c r="G42" s="355">
        <v>22597749.43</v>
      </c>
      <c r="H42" s="355">
        <v>1</v>
      </c>
      <c r="I42" s="355"/>
      <c r="J42" s="311">
        <v>2</v>
      </c>
    </row>
    <row r="43" spans="2:10" x14ac:dyDescent="0.35">
      <c r="B43" s="355">
        <v>93</v>
      </c>
      <c r="C43" s="355" t="s">
        <v>11</v>
      </c>
      <c r="D43" s="355" t="s">
        <v>279</v>
      </c>
      <c r="E43" s="355" t="s">
        <v>425</v>
      </c>
      <c r="F43" s="355">
        <v>9201000</v>
      </c>
      <c r="G43" s="355">
        <v>21075892.91</v>
      </c>
      <c r="H43" s="355">
        <v>1</v>
      </c>
      <c r="I43" s="355"/>
      <c r="J43" s="311">
        <v>1</v>
      </c>
    </row>
    <row r="44" spans="2:10" x14ac:dyDescent="0.35">
      <c r="B44" s="355">
        <v>93</v>
      </c>
      <c r="C44" s="355" t="s">
        <v>12</v>
      </c>
      <c r="D44" s="355" t="s">
        <v>239</v>
      </c>
      <c r="E44" s="355" t="s">
        <v>358</v>
      </c>
      <c r="F44" s="355">
        <v>8833000</v>
      </c>
      <c r="G44" s="355">
        <v>38747126.700000003</v>
      </c>
      <c r="H44" s="355">
        <v>1</v>
      </c>
      <c r="I44" s="355"/>
      <c r="J44" s="311">
        <v>1</v>
      </c>
    </row>
    <row r="45" spans="2:10" x14ac:dyDescent="0.35">
      <c r="B45" s="355">
        <v>93</v>
      </c>
      <c r="C45" s="355" t="s">
        <v>12</v>
      </c>
      <c r="D45" s="355" t="s">
        <v>239</v>
      </c>
      <c r="E45" s="355" t="s">
        <v>460</v>
      </c>
      <c r="F45" s="355">
        <v>6818000</v>
      </c>
      <c r="G45" s="355">
        <v>37700000</v>
      </c>
      <c r="H45" s="355">
        <v>1</v>
      </c>
      <c r="I45" s="355"/>
      <c r="J45" s="311">
        <v>1</v>
      </c>
    </row>
    <row r="46" spans="2:10" x14ac:dyDescent="0.35">
      <c r="B46" s="355">
        <v>93</v>
      </c>
      <c r="C46" s="355" t="s">
        <v>12</v>
      </c>
      <c r="D46" s="355" t="s">
        <v>360</v>
      </c>
      <c r="E46" s="355" t="s">
        <v>353</v>
      </c>
      <c r="F46" s="355">
        <v>9234000</v>
      </c>
      <c r="G46" s="355">
        <v>22981009</v>
      </c>
      <c r="H46" s="355">
        <v>1</v>
      </c>
      <c r="I46" s="355"/>
      <c r="J46" s="311">
        <v>2</v>
      </c>
    </row>
    <row r="47" spans="2:10" x14ac:dyDescent="0.35">
      <c r="B47" s="355">
        <v>93</v>
      </c>
      <c r="C47" s="355" t="s">
        <v>13</v>
      </c>
      <c r="D47" s="355" t="s">
        <v>13</v>
      </c>
      <c r="E47" s="355" t="s">
        <v>461</v>
      </c>
      <c r="F47" s="355">
        <v>7153500</v>
      </c>
      <c r="G47" s="355">
        <v>53250000</v>
      </c>
      <c r="H47" s="355">
        <v>2</v>
      </c>
      <c r="I47" s="355"/>
      <c r="J47" s="311">
        <v>1</v>
      </c>
    </row>
    <row r="48" spans="2:10" x14ac:dyDescent="0.35">
      <c r="B48" s="355">
        <v>93</v>
      </c>
      <c r="C48" s="355" t="s">
        <v>64</v>
      </c>
      <c r="D48" s="355" t="s">
        <v>330</v>
      </c>
      <c r="E48" s="355" t="s">
        <v>331</v>
      </c>
      <c r="F48" s="355">
        <v>8917000</v>
      </c>
      <c r="G48" s="355">
        <v>32540802.16</v>
      </c>
      <c r="H48" s="355">
        <v>1</v>
      </c>
      <c r="I48" s="355"/>
      <c r="J48" s="311">
        <v>1</v>
      </c>
    </row>
    <row r="49" spans="2:10" x14ac:dyDescent="0.35">
      <c r="B49" s="355">
        <v>93</v>
      </c>
      <c r="C49" s="355" t="s">
        <v>64</v>
      </c>
      <c r="D49" s="355" t="s">
        <v>329</v>
      </c>
      <c r="E49" s="355" t="s">
        <v>416</v>
      </c>
      <c r="F49" s="355">
        <v>9247000</v>
      </c>
      <c r="G49" s="355">
        <v>20980000</v>
      </c>
      <c r="H49" s="355">
        <v>1</v>
      </c>
      <c r="I49" s="355"/>
      <c r="J49" s="311">
        <v>1</v>
      </c>
    </row>
    <row r="50" spans="2:10" x14ac:dyDescent="0.35">
      <c r="B50" s="355">
        <v>93</v>
      </c>
      <c r="C50" s="355" t="s">
        <v>64</v>
      </c>
      <c r="D50" s="355" t="s">
        <v>420</v>
      </c>
      <c r="E50" s="355" t="s">
        <v>420</v>
      </c>
      <c r="F50" s="355">
        <v>9247000</v>
      </c>
      <c r="G50" s="355">
        <v>20825000</v>
      </c>
      <c r="H50" s="355">
        <v>1</v>
      </c>
      <c r="I50" s="355"/>
      <c r="J50" s="311">
        <v>4</v>
      </c>
    </row>
    <row r="51" spans="2:10" x14ac:dyDescent="0.35">
      <c r="B51" s="355">
        <v>93</v>
      </c>
      <c r="C51" s="355" t="s">
        <v>86</v>
      </c>
      <c r="D51" s="355" t="s">
        <v>86</v>
      </c>
      <c r="E51" s="355" t="s">
        <v>86</v>
      </c>
      <c r="F51" s="355">
        <v>9195000</v>
      </c>
      <c r="G51" s="355">
        <v>25145910.579999998</v>
      </c>
      <c r="H51" s="355">
        <v>1</v>
      </c>
      <c r="I51" s="355"/>
      <c r="J51" s="311">
        <v>1</v>
      </c>
    </row>
    <row r="52" spans="2:10" x14ac:dyDescent="0.35">
      <c r="B52" s="355">
        <v>93</v>
      </c>
      <c r="C52" s="355" t="s">
        <v>86</v>
      </c>
      <c r="D52" s="355" t="s">
        <v>88</v>
      </c>
      <c r="E52" s="355" t="s">
        <v>283</v>
      </c>
      <c r="F52" s="355">
        <v>8578000</v>
      </c>
      <c r="G52" s="355">
        <v>22512500</v>
      </c>
      <c r="H52" s="355">
        <v>2</v>
      </c>
      <c r="I52" s="355"/>
      <c r="J52" s="311">
        <v>1</v>
      </c>
    </row>
    <row r="53" spans="2:10" x14ac:dyDescent="0.35">
      <c r="B53" s="355">
        <v>93</v>
      </c>
      <c r="C53" s="355" t="s">
        <v>86</v>
      </c>
      <c r="D53" s="355" t="s">
        <v>89</v>
      </c>
      <c r="E53" s="355" t="s">
        <v>89</v>
      </c>
      <c r="F53" s="355">
        <v>9234000</v>
      </c>
      <c r="G53" s="355">
        <v>19550000</v>
      </c>
      <c r="H53" s="355">
        <v>1</v>
      </c>
      <c r="I53" s="355"/>
      <c r="J53" s="311">
        <v>1</v>
      </c>
    </row>
    <row r="54" spans="2:10" x14ac:dyDescent="0.35">
      <c r="B54" s="355">
        <v>105</v>
      </c>
      <c r="C54" s="355" t="s">
        <v>84</v>
      </c>
      <c r="D54" s="355" t="s">
        <v>90</v>
      </c>
      <c r="E54" s="355" t="s">
        <v>351</v>
      </c>
      <c r="F54" s="355">
        <v>9300000</v>
      </c>
      <c r="G54" s="355">
        <v>9599973.5399999991</v>
      </c>
      <c r="H54" s="355">
        <v>1</v>
      </c>
      <c r="I54" s="355"/>
      <c r="J54" s="311">
        <v>1</v>
      </c>
    </row>
    <row r="55" spans="2:10" ht="18" customHeight="1" x14ac:dyDescent="0.35">
      <c r="B55" s="355">
        <v>105</v>
      </c>
      <c r="C55" s="355" t="s">
        <v>84</v>
      </c>
      <c r="D55" s="355" t="s">
        <v>90</v>
      </c>
      <c r="E55" s="355" t="s">
        <v>69</v>
      </c>
      <c r="F55" s="355">
        <v>9300000</v>
      </c>
      <c r="G55" s="355">
        <v>9599973.5399999991</v>
      </c>
      <c r="H55" s="355">
        <v>1</v>
      </c>
      <c r="I55" s="355"/>
      <c r="J55" s="311">
        <v>1</v>
      </c>
    </row>
    <row r="56" spans="2:10" x14ac:dyDescent="0.35">
      <c r="B56" s="355">
        <v>105</v>
      </c>
      <c r="C56" s="355" t="s">
        <v>11</v>
      </c>
      <c r="D56" s="355" t="s">
        <v>71</v>
      </c>
      <c r="E56" s="355" t="s">
        <v>462</v>
      </c>
      <c r="F56" s="355">
        <v>9300000</v>
      </c>
      <c r="G56" s="355">
        <v>9599973.5399999991</v>
      </c>
      <c r="H56" s="355">
        <v>1</v>
      </c>
      <c r="I56" s="355"/>
      <c r="J56" s="311">
        <v>1</v>
      </c>
    </row>
    <row r="57" spans="2:10" x14ac:dyDescent="0.35">
      <c r="B57" s="355">
        <v>105</v>
      </c>
      <c r="C57" s="355" t="s">
        <v>11</v>
      </c>
      <c r="D57" s="355" t="s">
        <v>279</v>
      </c>
      <c r="E57" s="355" t="s">
        <v>279</v>
      </c>
      <c r="F57" s="355">
        <v>9300000</v>
      </c>
      <c r="G57" s="355">
        <v>9599973.5399999991</v>
      </c>
      <c r="H57" s="355">
        <v>1</v>
      </c>
      <c r="I57" s="355"/>
      <c r="J57" s="311">
        <v>1</v>
      </c>
    </row>
    <row r="58" spans="2:10" x14ac:dyDescent="0.35">
      <c r="B58" s="355">
        <v>105</v>
      </c>
      <c r="C58" s="355" t="s">
        <v>63</v>
      </c>
      <c r="D58" s="355" t="s">
        <v>341</v>
      </c>
      <c r="E58" s="355" t="s">
        <v>463</v>
      </c>
      <c r="F58" s="355">
        <v>9300000</v>
      </c>
      <c r="G58" s="355">
        <v>9599973.5399999991</v>
      </c>
      <c r="H58" s="355">
        <v>1</v>
      </c>
      <c r="I58" s="355"/>
      <c r="J58" s="311">
        <v>1</v>
      </c>
    </row>
    <row r="59" spans="2:10" x14ac:dyDescent="0.35">
      <c r="B59" s="355">
        <v>116</v>
      </c>
      <c r="C59" s="355" t="s">
        <v>11</v>
      </c>
      <c r="D59" s="355" t="s">
        <v>70</v>
      </c>
      <c r="E59" s="355" t="s">
        <v>368</v>
      </c>
      <c r="F59" s="355">
        <v>9300000</v>
      </c>
      <c r="G59" s="355">
        <v>9466650.4199999999</v>
      </c>
      <c r="H59" s="355">
        <v>1</v>
      </c>
      <c r="I59" s="355"/>
      <c r="J59" s="311">
        <v>1</v>
      </c>
    </row>
    <row r="60" spans="2:10" x14ac:dyDescent="0.35">
      <c r="B60" s="355">
        <v>116</v>
      </c>
      <c r="C60" s="355" t="s">
        <v>11</v>
      </c>
      <c r="D60" s="355" t="s">
        <v>347</v>
      </c>
      <c r="E60" s="355" t="s">
        <v>347</v>
      </c>
      <c r="F60" s="355">
        <v>9300000</v>
      </c>
      <c r="G60" s="355">
        <v>9466650.4199999999</v>
      </c>
      <c r="H60" s="355">
        <v>1</v>
      </c>
      <c r="I60" s="355"/>
      <c r="J60" s="311">
        <v>1</v>
      </c>
    </row>
    <row r="61" spans="2:10" x14ac:dyDescent="0.35">
      <c r="B61" s="355">
        <v>116</v>
      </c>
      <c r="C61" s="355" t="s">
        <v>63</v>
      </c>
      <c r="D61" s="355" t="s">
        <v>277</v>
      </c>
      <c r="E61" s="355" t="s">
        <v>277</v>
      </c>
      <c r="F61" s="355">
        <v>8875000</v>
      </c>
      <c r="G61" s="355">
        <v>9466650.4199999999</v>
      </c>
      <c r="H61" s="355">
        <v>1</v>
      </c>
      <c r="I61" s="355"/>
      <c r="J61" s="311">
        <v>1</v>
      </c>
    </row>
    <row r="62" spans="2:10" x14ac:dyDescent="0.35">
      <c r="B62" s="355">
        <v>116</v>
      </c>
      <c r="C62" s="355" t="s">
        <v>64</v>
      </c>
      <c r="D62" s="355" t="s">
        <v>64</v>
      </c>
      <c r="E62" s="355" t="s">
        <v>332</v>
      </c>
      <c r="F62" s="355">
        <v>9277000</v>
      </c>
      <c r="G62" s="355">
        <v>9466650.4199999999</v>
      </c>
      <c r="H62" s="355">
        <v>2</v>
      </c>
      <c r="I62" s="355"/>
      <c r="J62" s="311">
        <v>2</v>
      </c>
    </row>
    <row r="63" spans="2:10" x14ac:dyDescent="0.35">
      <c r="B63" s="355">
        <v>116</v>
      </c>
      <c r="C63" s="355" t="s">
        <v>64</v>
      </c>
      <c r="D63" s="355" t="s">
        <v>64</v>
      </c>
      <c r="E63" s="355" t="s">
        <v>464</v>
      </c>
      <c r="F63" s="355">
        <v>9300000</v>
      </c>
      <c r="G63" s="355">
        <v>9466650.4199999999</v>
      </c>
      <c r="H63" s="355">
        <v>1</v>
      </c>
      <c r="I63" s="355"/>
      <c r="J63" s="311">
        <v>1</v>
      </c>
    </row>
    <row r="64" spans="2:10" x14ac:dyDescent="0.35">
      <c r="B64" s="355">
        <v>116</v>
      </c>
      <c r="C64" s="355" t="s">
        <v>64</v>
      </c>
      <c r="D64" s="355" t="s">
        <v>354</v>
      </c>
      <c r="E64" s="355" t="s">
        <v>396</v>
      </c>
      <c r="F64" s="355">
        <v>9300000</v>
      </c>
      <c r="G64" s="355">
        <v>9466650.4199999999</v>
      </c>
      <c r="H64" s="355">
        <v>1</v>
      </c>
      <c r="I64" s="355"/>
      <c r="J64" s="311">
        <v>1</v>
      </c>
    </row>
    <row r="65" spans="2:10" x14ac:dyDescent="0.35">
      <c r="B65" s="355">
        <v>116</v>
      </c>
      <c r="C65" s="355" t="s">
        <v>64</v>
      </c>
      <c r="D65" s="355" t="s">
        <v>62</v>
      </c>
      <c r="E65" s="355" t="s">
        <v>62</v>
      </c>
      <c r="F65" s="355">
        <v>9300000</v>
      </c>
      <c r="G65" s="355">
        <v>9466650.4199999999</v>
      </c>
      <c r="H65" s="355">
        <v>6</v>
      </c>
      <c r="I65" s="355"/>
      <c r="J65" s="311">
        <v>1</v>
      </c>
    </row>
    <row r="66" spans="2:10" x14ac:dyDescent="0.35">
      <c r="B66" s="355">
        <v>116</v>
      </c>
      <c r="C66" s="355" t="s">
        <v>64</v>
      </c>
      <c r="D66" s="355" t="s">
        <v>62</v>
      </c>
      <c r="E66" s="355" t="s">
        <v>343</v>
      </c>
      <c r="F66" s="355">
        <v>9300000</v>
      </c>
      <c r="G66" s="355">
        <v>9466650.4199999999</v>
      </c>
      <c r="H66" s="355">
        <v>2</v>
      </c>
      <c r="I66" s="355"/>
      <c r="J66" s="311">
        <v>1</v>
      </c>
    </row>
    <row r="67" spans="2:10" x14ac:dyDescent="0.35">
      <c r="B67" s="355">
        <v>116</v>
      </c>
      <c r="C67" s="355" t="s">
        <v>64</v>
      </c>
      <c r="D67" s="355" t="s">
        <v>330</v>
      </c>
      <c r="E67" s="355" t="s">
        <v>331</v>
      </c>
      <c r="F67" s="355">
        <v>5859000</v>
      </c>
      <c r="G67" s="355">
        <v>11927979.529999999</v>
      </c>
      <c r="H67" s="355">
        <v>2</v>
      </c>
      <c r="I67" s="355"/>
      <c r="J67" s="311">
        <v>1</v>
      </c>
    </row>
    <row r="68" spans="2:10" x14ac:dyDescent="0.35">
      <c r="B68" s="355">
        <v>116</v>
      </c>
      <c r="C68" s="355" t="s">
        <v>64</v>
      </c>
      <c r="D68" s="355" t="s">
        <v>328</v>
      </c>
      <c r="E68" s="355" t="s">
        <v>328</v>
      </c>
      <c r="F68" s="355">
        <v>9300000</v>
      </c>
      <c r="G68" s="355">
        <v>9466650.4199999999</v>
      </c>
      <c r="H68" s="355">
        <v>1</v>
      </c>
      <c r="I68" s="355"/>
      <c r="J68" s="311">
        <v>1</v>
      </c>
    </row>
    <row r="69" spans="2:10" x14ac:dyDescent="0.35">
      <c r="B69" s="355">
        <v>116</v>
      </c>
      <c r="C69" s="355" t="s">
        <v>86</v>
      </c>
      <c r="D69" s="355" t="s">
        <v>86</v>
      </c>
      <c r="E69" s="355" t="s">
        <v>398</v>
      </c>
      <c r="F69" s="355">
        <v>9300000</v>
      </c>
      <c r="G69" s="355">
        <v>9466650.4199999999</v>
      </c>
      <c r="H69" s="355">
        <v>1</v>
      </c>
      <c r="I69" s="355"/>
      <c r="J69" s="311">
        <v>1</v>
      </c>
    </row>
    <row r="70" spans="2:10" x14ac:dyDescent="0.35">
      <c r="B70" s="355">
        <v>4</v>
      </c>
      <c r="C70" s="355" t="s">
        <v>84</v>
      </c>
      <c r="D70" s="355" t="s">
        <v>355</v>
      </c>
      <c r="E70" s="355" t="s">
        <v>452</v>
      </c>
      <c r="F70" s="355">
        <v>8413000</v>
      </c>
      <c r="G70" s="355">
        <v>39931064</v>
      </c>
      <c r="H70" s="355">
        <v>2</v>
      </c>
      <c r="I70" s="355"/>
      <c r="J70" s="311">
        <v>1</v>
      </c>
    </row>
    <row r="71" spans="2:10" x14ac:dyDescent="0.35">
      <c r="B71" s="355">
        <v>4</v>
      </c>
      <c r="C71" s="355" t="s">
        <v>84</v>
      </c>
      <c r="D71" s="355" t="s">
        <v>333</v>
      </c>
      <c r="E71" s="355" t="s">
        <v>334</v>
      </c>
      <c r="F71" s="355">
        <v>8161000</v>
      </c>
      <c r="G71" s="355">
        <v>30461000</v>
      </c>
      <c r="H71" s="355">
        <v>1</v>
      </c>
      <c r="I71" s="355"/>
      <c r="J71" s="311">
        <v>1</v>
      </c>
    </row>
    <row r="72" spans="2:10" x14ac:dyDescent="0.35">
      <c r="B72" s="355">
        <v>4</v>
      </c>
      <c r="C72" s="355" t="s">
        <v>84</v>
      </c>
      <c r="D72" s="355" t="s">
        <v>90</v>
      </c>
      <c r="E72" s="355" t="s">
        <v>337</v>
      </c>
      <c r="F72" s="355">
        <v>9300000</v>
      </c>
      <c r="G72" s="355">
        <v>9650000</v>
      </c>
      <c r="H72" s="355">
        <v>1</v>
      </c>
      <c r="I72" s="355"/>
      <c r="J72" s="311">
        <v>2</v>
      </c>
    </row>
    <row r="73" spans="2:10" x14ac:dyDescent="0.35">
      <c r="B73" s="355">
        <v>4</v>
      </c>
      <c r="C73" s="355" t="s">
        <v>11</v>
      </c>
      <c r="D73" s="355" t="s">
        <v>11</v>
      </c>
      <c r="E73" s="355" t="s">
        <v>84</v>
      </c>
      <c r="F73" s="355">
        <v>8203000</v>
      </c>
      <c r="G73" s="355">
        <v>40353000</v>
      </c>
      <c r="H73" s="355">
        <v>1</v>
      </c>
      <c r="I73" s="355"/>
      <c r="J73" s="311">
        <v>2</v>
      </c>
    </row>
    <row r="74" spans="2:10" x14ac:dyDescent="0.35">
      <c r="B74" s="355">
        <v>4</v>
      </c>
      <c r="C74" s="355" t="s">
        <v>11</v>
      </c>
      <c r="D74" s="355" t="s">
        <v>78</v>
      </c>
      <c r="E74" s="355" t="s">
        <v>389</v>
      </c>
      <c r="F74" s="355">
        <v>9221000</v>
      </c>
      <c r="G74" s="355">
        <v>23157666.666666701</v>
      </c>
      <c r="H74" s="355">
        <v>3</v>
      </c>
      <c r="I74" s="355"/>
      <c r="J74" s="311">
        <v>1</v>
      </c>
    </row>
    <row r="75" spans="2:10" x14ac:dyDescent="0.35">
      <c r="B75" s="355">
        <v>4</v>
      </c>
      <c r="C75" s="355" t="s">
        <v>11</v>
      </c>
      <c r="D75" s="355" t="s">
        <v>78</v>
      </c>
      <c r="E75" s="355" t="s">
        <v>340</v>
      </c>
      <c r="F75" s="355">
        <v>8581000</v>
      </c>
      <c r="G75" s="355">
        <v>25229000</v>
      </c>
      <c r="H75" s="355">
        <v>1</v>
      </c>
      <c r="I75" s="355"/>
      <c r="J75" s="311">
        <v>1</v>
      </c>
    </row>
    <row r="76" spans="2:10" x14ac:dyDescent="0.35">
      <c r="B76" s="355">
        <v>4</v>
      </c>
      <c r="C76" s="355" t="s">
        <v>12</v>
      </c>
      <c r="D76" s="355" t="s">
        <v>239</v>
      </c>
      <c r="E76" s="355" t="s">
        <v>358</v>
      </c>
      <c r="F76" s="355">
        <v>6398000</v>
      </c>
      <c r="G76" s="355">
        <v>39761479.549999997</v>
      </c>
      <c r="H76" s="355">
        <v>1</v>
      </c>
      <c r="I76" s="355"/>
      <c r="J76" s="311">
        <v>2</v>
      </c>
    </row>
    <row r="77" spans="2:10" x14ac:dyDescent="0.35">
      <c r="B77" s="355">
        <v>4</v>
      </c>
      <c r="C77" s="355" t="s">
        <v>12</v>
      </c>
      <c r="D77" s="355" t="s">
        <v>409</v>
      </c>
      <c r="E77" s="355" t="s">
        <v>410</v>
      </c>
      <c r="F77" s="355">
        <v>8833000</v>
      </c>
      <c r="G77" s="355">
        <v>37050000</v>
      </c>
      <c r="H77" s="355">
        <v>1</v>
      </c>
      <c r="I77" s="355"/>
      <c r="J77" s="311">
        <v>1</v>
      </c>
    </row>
    <row r="78" spans="2:10" x14ac:dyDescent="0.35">
      <c r="B78" s="355">
        <v>4</v>
      </c>
      <c r="C78" s="355" t="s">
        <v>13</v>
      </c>
      <c r="D78" s="355" t="s">
        <v>87</v>
      </c>
      <c r="E78" s="355" t="s">
        <v>294</v>
      </c>
      <c r="F78" s="355">
        <v>6272000</v>
      </c>
      <c r="G78" s="355">
        <v>40793000</v>
      </c>
      <c r="H78" s="355">
        <v>1</v>
      </c>
      <c r="I78" s="355"/>
      <c r="J78" s="311">
        <v>1</v>
      </c>
    </row>
    <row r="79" spans="2:10" x14ac:dyDescent="0.35">
      <c r="B79" s="355">
        <v>4</v>
      </c>
      <c r="C79" s="355" t="s">
        <v>64</v>
      </c>
      <c r="D79" s="355" t="s">
        <v>330</v>
      </c>
      <c r="E79" s="355" t="s">
        <v>331</v>
      </c>
      <c r="F79" s="355">
        <v>9227000</v>
      </c>
      <c r="G79" s="355">
        <v>26277000</v>
      </c>
      <c r="H79" s="355">
        <v>1</v>
      </c>
      <c r="I79" s="355"/>
      <c r="J79" s="311">
        <v>1</v>
      </c>
    </row>
    <row r="80" spans="2:10" x14ac:dyDescent="0.35">
      <c r="B80" s="355">
        <v>4</v>
      </c>
      <c r="C80" s="355" t="s">
        <v>64</v>
      </c>
      <c r="D80" s="355" t="s">
        <v>65</v>
      </c>
      <c r="E80" s="355" t="s">
        <v>390</v>
      </c>
      <c r="F80" s="355">
        <v>7909000</v>
      </c>
      <c r="G80" s="355">
        <v>17284000</v>
      </c>
      <c r="H80" s="355">
        <v>1</v>
      </c>
      <c r="I80" s="355"/>
      <c r="J80" s="311">
        <v>5</v>
      </c>
    </row>
    <row r="81" spans="2:10" x14ac:dyDescent="0.35">
      <c r="B81" s="355">
        <v>4</v>
      </c>
      <c r="C81" s="355" t="s">
        <v>86</v>
      </c>
      <c r="D81" s="355" t="s">
        <v>88</v>
      </c>
      <c r="E81" s="355" t="s">
        <v>91</v>
      </c>
      <c r="F81" s="355">
        <v>7615000</v>
      </c>
      <c r="G81" s="355">
        <v>24119000</v>
      </c>
      <c r="H81" s="355">
        <v>1</v>
      </c>
      <c r="I81" s="355"/>
      <c r="J81" s="311">
        <v>1</v>
      </c>
    </row>
    <row r="82" spans="2:10" x14ac:dyDescent="0.35">
      <c r="B82" s="355">
        <v>4</v>
      </c>
      <c r="C82" s="355" t="s">
        <v>86</v>
      </c>
      <c r="D82" s="355" t="s">
        <v>88</v>
      </c>
      <c r="E82" s="355" t="s">
        <v>283</v>
      </c>
      <c r="F82" s="355">
        <v>8623000</v>
      </c>
      <c r="G82" s="355">
        <v>20123000</v>
      </c>
      <c r="H82" s="355">
        <v>1</v>
      </c>
      <c r="I82" s="355"/>
      <c r="J82" s="311">
        <v>3</v>
      </c>
    </row>
    <row r="83" spans="2:10" x14ac:dyDescent="0.35">
      <c r="B83" s="355">
        <v>4</v>
      </c>
      <c r="C83" s="355" t="s">
        <v>86</v>
      </c>
      <c r="D83" s="355" t="s">
        <v>88</v>
      </c>
      <c r="E83" s="355" t="s">
        <v>66</v>
      </c>
      <c r="F83" s="355">
        <v>9175000</v>
      </c>
      <c r="G83" s="355">
        <v>23771652.370000001</v>
      </c>
      <c r="H83" s="355">
        <v>1</v>
      </c>
      <c r="I83" s="355"/>
      <c r="J83" s="311">
        <v>2</v>
      </c>
    </row>
    <row r="84" spans="2:10" x14ac:dyDescent="0.35">
      <c r="B84" s="355">
        <v>4</v>
      </c>
      <c r="C84" s="355" t="s">
        <v>86</v>
      </c>
      <c r="D84" s="355" t="s">
        <v>88</v>
      </c>
      <c r="E84" s="355" t="s">
        <v>75</v>
      </c>
      <c r="F84" s="355">
        <v>9175000</v>
      </c>
      <c r="G84" s="355">
        <v>19401000</v>
      </c>
      <c r="H84" s="355">
        <v>1</v>
      </c>
      <c r="I84" s="355"/>
      <c r="J84" s="311">
        <v>1</v>
      </c>
    </row>
    <row r="85" spans="2:10" x14ac:dyDescent="0.35">
      <c r="B85" s="355">
        <v>4</v>
      </c>
      <c r="C85" s="355" t="s">
        <v>86</v>
      </c>
      <c r="D85" s="355" t="s">
        <v>88</v>
      </c>
      <c r="E85" s="355" t="s">
        <v>67</v>
      </c>
      <c r="F85" s="355">
        <v>9293000</v>
      </c>
      <c r="G85" s="355">
        <v>19293000</v>
      </c>
      <c r="H85" s="355">
        <v>1</v>
      </c>
      <c r="I85" s="355"/>
      <c r="J85" s="311">
        <v>1</v>
      </c>
    </row>
    <row r="86" spans="2:10" x14ac:dyDescent="0.35">
      <c r="B86" s="355">
        <v>4</v>
      </c>
      <c r="C86" s="355" t="s">
        <v>86</v>
      </c>
      <c r="D86" s="355" t="s">
        <v>88</v>
      </c>
      <c r="E86" s="355" t="s">
        <v>465</v>
      </c>
      <c r="F86" s="355">
        <v>8749000</v>
      </c>
      <c r="G86" s="355">
        <v>21941000</v>
      </c>
      <c r="H86" s="355">
        <v>1</v>
      </c>
      <c r="I86" s="355"/>
      <c r="J86" s="311">
        <v>2</v>
      </c>
    </row>
    <row r="87" spans="2:10" x14ac:dyDescent="0.35">
      <c r="B87" s="355">
        <v>22</v>
      </c>
      <c r="C87" s="355" t="s">
        <v>11</v>
      </c>
      <c r="D87" s="355" t="s">
        <v>70</v>
      </c>
      <c r="E87" s="355" t="s">
        <v>426</v>
      </c>
      <c r="F87" s="355">
        <v>8287000</v>
      </c>
      <c r="G87" s="355">
        <v>42207000</v>
      </c>
      <c r="H87" s="355">
        <v>1</v>
      </c>
      <c r="I87" s="355"/>
      <c r="J87" s="311">
        <v>1</v>
      </c>
    </row>
    <row r="88" spans="2:10" x14ac:dyDescent="0.35">
      <c r="B88" s="355">
        <v>22</v>
      </c>
      <c r="C88" s="355" t="s">
        <v>12</v>
      </c>
      <c r="D88" s="355" t="s">
        <v>12</v>
      </c>
      <c r="E88" s="355" t="s">
        <v>357</v>
      </c>
      <c r="F88" s="355">
        <v>7489500</v>
      </c>
      <c r="G88" s="355">
        <v>59539500</v>
      </c>
      <c r="H88" s="355">
        <v>2</v>
      </c>
      <c r="I88" s="355"/>
      <c r="J88" s="311">
        <v>1</v>
      </c>
    </row>
    <row r="89" spans="2:10" x14ac:dyDescent="0.35">
      <c r="B89" s="355">
        <v>22</v>
      </c>
      <c r="C89" s="355" t="s">
        <v>12</v>
      </c>
      <c r="D89" s="355" t="s">
        <v>12</v>
      </c>
      <c r="E89" s="355" t="s">
        <v>466</v>
      </c>
      <c r="F89" s="355">
        <v>9043000</v>
      </c>
      <c r="G89" s="355">
        <v>29343000</v>
      </c>
      <c r="H89" s="355">
        <v>1</v>
      </c>
      <c r="I89" s="355"/>
      <c r="J89" s="311">
        <v>1</v>
      </c>
    </row>
    <row r="90" spans="2:10" x14ac:dyDescent="0.35">
      <c r="B90" s="355">
        <v>22</v>
      </c>
      <c r="C90" s="355" t="s">
        <v>12</v>
      </c>
      <c r="D90" s="355" t="s">
        <v>239</v>
      </c>
      <c r="E90" s="355" t="s">
        <v>358</v>
      </c>
      <c r="F90" s="355">
        <v>8539000</v>
      </c>
      <c r="G90" s="355">
        <v>50749000</v>
      </c>
      <c r="H90" s="355">
        <v>1</v>
      </c>
      <c r="I90" s="355"/>
      <c r="J90" s="311">
        <v>1</v>
      </c>
    </row>
    <row r="91" spans="2:10" x14ac:dyDescent="0.35">
      <c r="B91" s="355">
        <v>22</v>
      </c>
      <c r="C91" s="355" t="s">
        <v>13</v>
      </c>
      <c r="D91" s="355" t="s">
        <v>370</v>
      </c>
      <c r="E91" s="355" t="s">
        <v>325</v>
      </c>
      <c r="F91" s="355">
        <v>7028000</v>
      </c>
      <c r="G91" s="355">
        <v>33168000</v>
      </c>
      <c r="H91" s="355">
        <v>1</v>
      </c>
      <c r="I91" s="355"/>
      <c r="J91" s="311">
        <v>1</v>
      </c>
    </row>
    <row r="92" spans="2:10" x14ac:dyDescent="0.35">
      <c r="B92" s="355">
        <v>22</v>
      </c>
      <c r="C92" s="355" t="s">
        <v>86</v>
      </c>
      <c r="D92" s="355" t="s">
        <v>86</v>
      </c>
      <c r="E92" s="355" t="s">
        <v>86</v>
      </c>
      <c r="F92" s="355">
        <v>7699000</v>
      </c>
      <c r="G92" s="355">
        <v>40159000</v>
      </c>
      <c r="H92" s="355">
        <v>1</v>
      </c>
      <c r="I92" s="355"/>
      <c r="J92" s="311">
        <v>1</v>
      </c>
    </row>
    <row r="93" spans="2:10" x14ac:dyDescent="0.35">
      <c r="B93" s="355">
        <v>22</v>
      </c>
      <c r="C93" s="355" t="s">
        <v>86</v>
      </c>
      <c r="D93" s="355" t="s">
        <v>363</v>
      </c>
      <c r="E93" s="355" t="s">
        <v>363</v>
      </c>
      <c r="F93" s="355">
        <v>6860000</v>
      </c>
      <c r="G93" s="355">
        <v>21170000</v>
      </c>
      <c r="H93" s="355">
        <v>1</v>
      </c>
      <c r="I93" s="355"/>
      <c r="J93" s="311">
        <v>1</v>
      </c>
    </row>
    <row r="94" spans="2:10" x14ac:dyDescent="0.35">
      <c r="B94" s="355">
        <v>22</v>
      </c>
      <c r="C94" s="355" t="s">
        <v>86</v>
      </c>
      <c r="D94" s="355" t="s">
        <v>363</v>
      </c>
      <c r="E94" s="355" t="s">
        <v>391</v>
      </c>
      <c r="F94" s="355">
        <v>8959000</v>
      </c>
      <c r="G94" s="355">
        <v>26069000</v>
      </c>
      <c r="H94" s="355">
        <v>1</v>
      </c>
      <c r="I94" s="355"/>
      <c r="J94" s="311">
        <v>1</v>
      </c>
    </row>
    <row r="95" spans="2:10" x14ac:dyDescent="0.35">
      <c r="B95" s="355">
        <v>26</v>
      </c>
      <c r="C95" s="355" t="s">
        <v>11</v>
      </c>
      <c r="D95" s="355" t="s">
        <v>356</v>
      </c>
      <c r="E95" s="355" t="s">
        <v>325</v>
      </c>
      <c r="F95" s="355">
        <v>8161000</v>
      </c>
      <c r="G95" s="355">
        <v>45564141</v>
      </c>
      <c r="H95" s="355">
        <v>1</v>
      </c>
      <c r="I95" s="355"/>
      <c r="J95" s="311">
        <v>8</v>
      </c>
    </row>
    <row r="96" spans="2:10" x14ac:dyDescent="0.35">
      <c r="B96" s="355">
        <v>26</v>
      </c>
      <c r="C96" s="355" t="s">
        <v>64</v>
      </c>
      <c r="D96" s="355" t="s">
        <v>74</v>
      </c>
      <c r="E96" s="355" t="s">
        <v>377</v>
      </c>
      <c r="F96" s="355">
        <v>9195000</v>
      </c>
      <c r="G96" s="355">
        <v>20153083.75</v>
      </c>
      <c r="H96" s="355">
        <v>1</v>
      </c>
      <c r="I96" s="355"/>
      <c r="J96" s="311">
        <v>1</v>
      </c>
    </row>
    <row r="97" spans="2:10" x14ac:dyDescent="0.35">
      <c r="B97" s="355">
        <v>27</v>
      </c>
      <c r="C97" s="355" t="s">
        <v>11</v>
      </c>
      <c r="D97" s="355" t="s">
        <v>11</v>
      </c>
      <c r="E97" s="355" t="s">
        <v>467</v>
      </c>
      <c r="F97" s="355">
        <v>6440000</v>
      </c>
      <c r="G97" s="355">
        <v>54923000</v>
      </c>
      <c r="H97" s="355">
        <v>1</v>
      </c>
      <c r="I97" s="355"/>
      <c r="J97" s="311">
        <v>1</v>
      </c>
    </row>
    <row r="98" spans="2:10" x14ac:dyDescent="0.35">
      <c r="B98" s="355">
        <v>27</v>
      </c>
      <c r="C98" s="355" t="s">
        <v>11</v>
      </c>
      <c r="D98" s="355" t="s">
        <v>11</v>
      </c>
      <c r="E98" s="355" t="s">
        <v>382</v>
      </c>
      <c r="F98" s="355">
        <v>6776000</v>
      </c>
      <c r="G98" s="355">
        <v>38885000</v>
      </c>
      <c r="H98" s="355">
        <v>1</v>
      </c>
      <c r="I98" s="355"/>
      <c r="J98" s="311">
        <v>1</v>
      </c>
    </row>
    <row r="99" spans="2:10" x14ac:dyDescent="0.35">
      <c r="B99" s="355">
        <v>27</v>
      </c>
      <c r="C99" s="355" t="s">
        <v>11</v>
      </c>
      <c r="D99" s="355" t="s">
        <v>385</v>
      </c>
      <c r="E99" s="355" t="s">
        <v>385</v>
      </c>
      <c r="F99" s="355">
        <v>9185000</v>
      </c>
      <c r="G99" s="355">
        <v>9339762.4199999999</v>
      </c>
      <c r="H99" s="355">
        <v>1</v>
      </c>
      <c r="I99" s="355"/>
      <c r="J99" s="311">
        <v>1</v>
      </c>
    </row>
    <row r="100" spans="2:10" x14ac:dyDescent="0.35">
      <c r="B100" s="355">
        <v>27</v>
      </c>
      <c r="C100" s="355" t="s">
        <v>11</v>
      </c>
      <c r="D100" s="355" t="s">
        <v>78</v>
      </c>
      <c r="E100" s="355" t="s">
        <v>303</v>
      </c>
      <c r="F100" s="355">
        <v>5978000</v>
      </c>
      <c r="G100" s="355">
        <v>38922000</v>
      </c>
      <c r="H100" s="355">
        <v>1</v>
      </c>
      <c r="I100" s="355"/>
      <c r="J100" s="311">
        <v>1</v>
      </c>
    </row>
    <row r="101" spans="2:10" x14ac:dyDescent="0.35">
      <c r="B101" s="355">
        <v>27</v>
      </c>
      <c r="C101" s="355" t="s">
        <v>11</v>
      </c>
      <c r="D101" s="355" t="s">
        <v>78</v>
      </c>
      <c r="E101" s="355" t="s">
        <v>387</v>
      </c>
      <c r="F101" s="355">
        <v>9275666.6666666698</v>
      </c>
      <c r="G101" s="355">
        <v>14109095.6666667</v>
      </c>
      <c r="H101" s="355">
        <v>3</v>
      </c>
      <c r="I101" s="355"/>
      <c r="J101" s="311">
        <v>4</v>
      </c>
    </row>
    <row r="102" spans="2:10" x14ac:dyDescent="0.35">
      <c r="B102" s="355">
        <v>27</v>
      </c>
      <c r="C102" s="355" t="s">
        <v>11</v>
      </c>
      <c r="D102" s="355" t="s">
        <v>82</v>
      </c>
      <c r="E102" s="355" t="s">
        <v>374</v>
      </c>
      <c r="F102" s="355">
        <v>9300000</v>
      </c>
      <c r="G102" s="355">
        <v>9438287</v>
      </c>
      <c r="H102" s="355">
        <v>1</v>
      </c>
      <c r="I102" s="355"/>
      <c r="J102" s="311">
        <v>1</v>
      </c>
    </row>
    <row r="103" spans="2:10" x14ac:dyDescent="0.35">
      <c r="B103" s="355">
        <v>27</v>
      </c>
      <c r="C103" s="355" t="s">
        <v>11</v>
      </c>
      <c r="D103" s="355" t="s">
        <v>408</v>
      </c>
      <c r="E103" s="355" t="s">
        <v>408</v>
      </c>
      <c r="F103" s="355">
        <v>9201000</v>
      </c>
      <c r="G103" s="355">
        <v>9438287</v>
      </c>
      <c r="H103" s="355">
        <v>1</v>
      </c>
      <c r="I103" s="355"/>
      <c r="J103" s="311">
        <v>3</v>
      </c>
    </row>
    <row r="104" spans="2:10" x14ac:dyDescent="0.35">
      <c r="B104" s="355">
        <v>27</v>
      </c>
      <c r="C104" s="355" t="s">
        <v>12</v>
      </c>
      <c r="D104" s="355" t="s">
        <v>12</v>
      </c>
      <c r="E104" s="355" t="s">
        <v>357</v>
      </c>
      <c r="F104" s="355">
        <v>7867000</v>
      </c>
      <c r="G104" s="355">
        <v>56492000</v>
      </c>
      <c r="H104" s="355">
        <v>1</v>
      </c>
      <c r="I104" s="355"/>
      <c r="J104" s="311">
        <v>1</v>
      </c>
    </row>
    <row r="105" spans="2:10" x14ac:dyDescent="0.35">
      <c r="B105" s="355">
        <v>27</v>
      </c>
      <c r="C105" s="355" t="s">
        <v>13</v>
      </c>
      <c r="D105" s="355" t="s">
        <v>87</v>
      </c>
      <c r="E105" s="355" t="s">
        <v>282</v>
      </c>
      <c r="F105" s="355">
        <v>6818000</v>
      </c>
      <c r="G105" s="355">
        <v>34530000</v>
      </c>
      <c r="H105" s="355">
        <v>1</v>
      </c>
      <c r="I105" s="355"/>
      <c r="J105" s="311">
        <v>2</v>
      </c>
    </row>
    <row r="106" spans="2:10" x14ac:dyDescent="0.35">
      <c r="B106" s="355">
        <v>27</v>
      </c>
      <c r="C106" s="355" t="s">
        <v>63</v>
      </c>
      <c r="D106" s="355" t="s">
        <v>295</v>
      </c>
      <c r="E106" s="355" t="s">
        <v>468</v>
      </c>
      <c r="F106" s="355">
        <v>9241000</v>
      </c>
      <c r="G106" s="355">
        <v>9438287.4600000009</v>
      </c>
      <c r="H106" s="355">
        <v>1</v>
      </c>
      <c r="I106" s="355"/>
      <c r="J106" s="311">
        <v>1</v>
      </c>
    </row>
    <row r="107" spans="2:10" x14ac:dyDescent="0.35">
      <c r="B107" s="355">
        <v>27</v>
      </c>
      <c r="C107" s="355" t="s">
        <v>63</v>
      </c>
      <c r="D107" s="355" t="s">
        <v>352</v>
      </c>
      <c r="E107" s="355" t="s">
        <v>353</v>
      </c>
      <c r="F107" s="355">
        <v>8875000</v>
      </c>
      <c r="G107" s="355">
        <v>36272000</v>
      </c>
      <c r="H107" s="355">
        <v>1</v>
      </c>
      <c r="I107" s="355"/>
      <c r="J107" s="311">
        <v>1</v>
      </c>
    </row>
    <row r="108" spans="2:10" x14ac:dyDescent="0.35">
      <c r="B108" s="355">
        <v>27</v>
      </c>
      <c r="C108" s="355" t="s">
        <v>63</v>
      </c>
      <c r="D108" s="355" t="s">
        <v>326</v>
      </c>
      <c r="E108" s="355" t="s">
        <v>326</v>
      </c>
      <c r="F108" s="355">
        <v>8917000</v>
      </c>
      <c r="G108" s="355">
        <v>9438287</v>
      </c>
      <c r="H108" s="355">
        <v>1</v>
      </c>
      <c r="I108" s="355"/>
      <c r="J108" s="311">
        <v>1</v>
      </c>
    </row>
    <row r="109" spans="2:10" x14ac:dyDescent="0.35">
      <c r="B109" s="355">
        <v>27</v>
      </c>
      <c r="C109" s="355" t="s">
        <v>64</v>
      </c>
      <c r="D109" s="355" t="s">
        <v>65</v>
      </c>
      <c r="E109" s="355" t="s">
        <v>413</v>
      </c>
      <c r="F109" s="355">
        <v>9300000</v>
      </c>
      <c r="G109" s="355">
        <v>9438287</v>
      </c>
      <c r="H109" s="355">
        <v>1</v>
      </c>
      <c r="I109" s="355"/>
      <c r="J109" s="311">
        <v>1</v>
      </c>
    </row>
    <row r="110" spans="2:10" x14ac:dyDescent="0.35">
      <c r="B110" s="355">
        <v>28</v>
      </c>
      <c r="C110" s="355" t="s">
        <v>11</v>
      </c>
      <c r="D110" s="355" t="s">
        <v>347</v>
      </c>
      <c r="E110" s="355" t="s">
        <v>423</v>
      </c>
      <c r="F110" s="355">
        <v>9234000</v>
      </c>
      <c r="G110" s="355">
        <v>22416152.879999999</v>
      </c>
      <c r="H110" s="355">
        <v>1</v>
      </c>
      <c r="I110" s="355"/>
      <c r="J110" s="311">
        <v>10</v>
      </c>
    </row>
    <row r="111" spans="2:10" x14ac:dyDescent="0.35">
      <c r="B111" s="355">
        <v>32</v>
      </c>
      <c r="C111" s="355" t="s">
        <v>84</v>
      </c>
      <c r="D111" s="355" t="s">
        <v>346</v>
      </c>
      <c r="E111" s="355" t="s">
        <v>469</v>
      </c>
      <c r="F111" s="355">
        <v>6566000</v>
      </c>
      <c r="G111" s="355">
        <v>22293941.100000001</v>
      </c>
      <c r="H111" s="355">
        <v>1</v>
      </c>
      <c r="I111" s="355"/>
      <c r="J111" s="311">
        <v>40</v>
      </c>
    </row>
    <row r="112" spans="2:10" x14ac:dyDescent="0.35">
      <c r="B112" s="355">
        <v>32</v>
      </c>
      <c r="C112" s="355" t="s">
        <v>11</v>
      </c>
      <c r="D112" s="355" t="s">
        <v>85</v>
      </c>
      <c r="E112" s="355" t="s">
        <v>350</v>
      </c>
      <c r="F112" s="355">
        <v>9175000</v>
      </c>
      <c r="G112" s="355">
        <v>21010146.949999999</v>
      </c>
      <c r="H112" s="355">
        <v>1</v>
      </c>
      <c r="I112" s="355"/>
      <c r="J112" s="311">
        <v>2</v>
      </c>
    </row>
    <row r="113" spans="2:10" x14ac:dyDescent="0.35">
      <c r="B113" s="355">
        <v>32</v>
      </c>
      <c r="C113" s="355" t="s">
        <v>11</v>
      </c>
      <c r="D113" s="355" t="s">
        <v>85</v>
      </c>
      <c r="E113" s="355" t="s">
        <v>470</v>
      </c>
      <c r="F113" s="355">
        <v>8772666.6666666698</v>
      </c>
      <c r="G113" s="355">
        <v>19870199.696666699</v>
      </c>
      <c r="H113" s="355">
        <v>3</v>
      </c>
      <c r="I113" s="355"/>
      <c r="J113" s="311">
        <v>2</v>
      </c>
    </row>
    <row r="114" spans="2:10" x14ac:dyDescent="0.35">
      <c r="B114" s="355">
        <v>32</v>
      </c>
      <c r="C114" s="355" t="s">
        <v>11</v>
      </c>
      <c r="D114" s="355" t="s">
        <v>85</v>
      </c>
      <c r="E114" s="355" t="s">
        <v>383</v>
      </c>
      <c r="F114" s="355">
        <v>8581000</v>
      </c>
      <c r="G114" s="355">
        <v>25457777.800000001</v>
      </c>
      <c r="H114" s="355">
        <v>1</v>
      </c>
      <c r="I114" s="355"/>
      <c r="J114" s="311">
        <v>2</v>
      </c>
    </row>
    <row r="115" spans="2:10" x14ac:dyDescent="0.35">
      <c r="B115" s="355">
        <v>32</v>
      </c>
      <c r="C115" s="355" t="s">
        <v>12</v>
      </c>
      <c r="D115" s="355" t="s">
        <v>359</v>
      </c>
      <c r="E115" s="355" t="s">
        <v>424</v>
      </c>
      <c r="F115" s="355">
        <v>8623000</v>
      </c>
      <c r="G115" s="355">
        <v>25036547.620000001</v>
      </c>
      <c r="H115" s="355">
        <v>1</v>
      </c>
      <c r="I115" s="355"/>
      <c r="J115" s="311">
        <v>1</v>
      </c>
    </row>
    <row r="116" spans="2:10" x14ac:dyDescent="0.35">
      <c r="B116" s="355">
        <v>32</v>
      </c>
      <c r="C116" s="355" t="s">
        <v>63</v>
      </c>
      <c r="D116" s="355" t="s">
        <v>375</v>
      </c>
      <c r="E116" s="355" t="s">
        <v>375</v>
      </c>
      <c r="F116" s="355">
        <v>7657000</v>
      </c>
      <c r="G116" s="355">
        <v>24088010.940000001</v>
      </c>
      <c r="H116" s="355">
        <v>1</v>
      </c>
      <c r="I116" s="355"/>
      <c r="J116" s="311">
        <v>1</v>
      </c>
    </row>
    <row r="117" spans="2:10" x14ac:dyDescent="0.35">
      <c r="B117" s="355">
        <v>32</v>
      </c>
      <c r="C117" s="355" t="s">
        <v>63</v>
      </c>
      <c r="D117" s="355" t="s">
        <v>73</v>
      </c>
      <c r="E117" s="355" t="s">
        <v>471</v>
      </c>
      <c r="F117" s="355">
        <v>6902000</v>
      </c>
      <c r="G117" s="355">
        <v>19708537.489999998</v>
      </c>
      <c r="H117" s="355">
        <v>1</v>
      </c>
      <c r="I117" s="355"/>
      <c r="J117" s="311">
        <v>1</v>
      </c>
    </row>
    <row r="118" spans="2:10" x14ac:dyDescent="0.35">
      <c r="B118" s="355">
        <v>32</v>
      </c>
      <c r="C118" s="355" t="s">
        <v>63</v>
      </c>
      <c r="D118" s="355" t="s">
        <v>376</v>
      </c>
      <c r="E118" s="355" t="s">
        <v>376</v>
      </c>
      <c r="F118" s="355">
        <v>8266500</v>
      </c>
      <c r="G118" s="355">
        <v>19738041.710000001</v>
      </c>
      <c r="H118" s="355">
        <v>2</v>
      </c>
      <c r="I118" s="355"/>
      <c r="J118" s="311">
        <v>1</v>
      </c>
    </row>
    <row r="119" spans="2:10" x14ac:dyDescent="0.35">
      <c r="B119" s="355">
        <v>87</v>
      </c>
      <c r="C119" s="355" t="s">
        <v>84</v>
      </c>
      <c r="D119" s="355" t="s">
        <v>90</v>
      </c>
      <c r="E119" s="355" t="s">
        <v>337</v>
      </c>
      <c r="F119" s="355">
        <v>9277000</v>
      </c>
      <c r="G119" s="355">
        <v>9491162.9499999993</v>
      </c>
      <c r="H119" s="355">
        <v>2</v>
      </c>
      <c r="I119" s="355"/>
      <c r="J119" s="311">
        <v>2</v>
      </c>
    </row>
    <row r="120" spans="2:10" x14ac:dyDescent="0.35">
      <c r="B120" s="355">
        <v>87</v>
      </c>
      <c r="C120" s="355" t="s">
        <v>84</v>
      </c>
      <c r="D120" s="355" t="s">
        <v>90</v>
      </c>
      <c r="E120" s="355" t="s">
        <v>69</v>
      </c>
      <c r="F120" s="355">
        <v>9300000</v>
      </c>
      <c r="G120" s="355">
        <v>9410533.4000000004</v>
      </c>
      <c r="H120" s="355">
        <v>3</v>
      </c>
      <c r="I120" s="355"/>
      <c r="J120" s="311">
        <v>2</v>
      </c>
    </row>
    <row r="121" spans="2:10" x14ac:dyDescent="0.35">
      <c r="B121" s="355">
        <v>87</v>
      </c>
      <c r="C121" s="355" t="s">
        <v>84</v>
      </c>
      <c r="D121" s="355" t="s">
        <v>90</v>
      </c>
      <c r="E121" s="355" t="s">
        <v>419</v>
      </c>
      <c r="F121" s="355">
        <v>9300000</v>
      </c>
      <c r="G121" s="355">
        <v>9410533.4000000004</v>
      </c>
      <c r="H121" s="355">
        <v>2</v>
      </c>
      <c r="I121" s="355"/>
      <c r="J121" s="311">
        <v>1</v>
      </c>
    </row>
    <row r="122" spans="2:10" x14ac:dyDescent="0.35">
      <c r="B122" s="355">
        <v>87</v>
      </c>
      <c r="C122" s="355" t="s">
        <v>84</v>
      </c>
      <c r="D122" s="355" t="s">
        <v>90</v>
      </c>
      <c r="E122" s="355" t="s">
        <v>365</v>
      </c>
      <c r="F122" s="355">
        <v>9300000</v>
      </c>
      <c r="G122" s="355">
        <v>9571792.5</v>
      </c>
      <c r="H122" s="355">
        <v>1</v>
      </c>
      <c r="I122" s="355"/>
    </row>
    <row r="123" spans="2:10" x14ac:dyDescent="0.35">
      <c r="B123" s="355">
        <v>87</v>
      </c>
      <c r="C123" s="355" t="s">
        <v>11</v>
      </c>
      <c r="D123" s="355" t="s">
        <v>78</v>
      </c>
      <c r="E123" s="355" t="s">
        <v>369</v>
      </c>
      <c r="F123" s="355">
        <v>9300000</v>
      </c>
      <c r="G123" s="355">
        <v>9410533.4000000004</v>
      </c>
      <c r="H123" s="355">
        <v>1</v>
      </c>
      <c r="I123" s="355"/>
    </row>
    <row r="124" spans="2:10" x14ac:dyDescent="0.35">
      <c r="B124" s="355">
        <v>87</v>
      </c>
      <c r="C124" s="355" t="s">
        <v>11</v>
      </c>
      <c r="D124" s="355" t="s">
        <v>78</v>
      </c>
      <c r="E124" s="355" t="s">
        <v>79</v>
      </c>
      <c r="F124" s="355">
        <v>9300000</v>
      </c>
      <c r="G124" s="355">
        <v>9605975</v>
      </c>
      <c r="H124" s="355">
        <v>1</v>
      </c>
      <c r="I124" s="355"/>
    </row>
    <row r="125" spans="2:10" x14ac:dyDescent="0.35">
      <c r="B125" s="355">
        <v>87</v>
      </c>
      <c r="C125" s="355" t="s">
        <v>11</v>
      </c>
      <c r="D125" s="355" t="s">
        <v>78</v>
      </c>
      <c r="E125" s="355" t="s">
        <v>399</v>
      </c>
      <c r="F125" s="355">
        <v>9278000</v>
      </c>
      <c r="G125" s="355">
        <v>9605975</v>
      </c>
      <c r="H125" s="355">
        <v>3</v>
      </c>
      <c r="I125" s="355"/>
    </row>
    <row r="126" spans="2:10" x14ac:dyDescent="0.35">
      <c r="B126" s="355">
        <v>87</v>
      </c>
      <c r="C126" s="355" t="s">
        <v>11</v>
      </c>
      <c r="D126" s="355" t="s">
        <v>78</v>
      </c>
      <c r="E126" s="355" t="s">
        <v>406</v>
      </c>
      <c r="F126" s="355">
        <v>9300000</v>
      </c>
      <c r="G126" s="355">
        <v>9410533.4000000004</v>
      </c>
      <c r="H126" s="355">
        <v>1</v>
      </c>
      <c r="I126" s="355"/>
    </row>
    <row r="127" spans="2:10" x14ac:dyDescent="0.35">
      <c r="B127" s="355">
        <v>87</v>
      </c>
      <c r="C127" s="355" t="s">
        <v>11</v>
      </c>
      <c r="D127" s="355" t="s">
        <v>71</v>
      </c>
      <c r="E127" s="355" t="s">
        <v>407</v>
      </c>
      <c r="F127" s="355">
        <v>9188000</v>
      </c>
      <c r="G127" s="355">
        <v>9605975</v>
      </c>
      <c r="H127" s="355">
        <v>1</v>
      </c>
      <c r="I127" s="355"/>
    </row>
    <row r="128" spans="2:10" x14ac:dyDescent="0.35">
      <c r="B128" s="311">
        <v>87</v>
      </c>
      <c r="C128" s="311" t="s">
        <v>11</v>
      </c>
      <c r="D128" s="311" t="s">
        <v>71</v>
      </c>
      <c r="E128" s="311" t="s">
        <v>388</v>
      </c>
      <c r="F128" s="311">
        <v>9286000</v>
      </c>
      <c r="G128" s="311">
        <v>9571792.5</v>
      </c>
      <c r="H128" s="311">
        <v>1</v>
      </c>
    </row>
    <row r="129" spans="2:8" x14ac:dyDescent="0.35">
      <c r="B129" s="311">
        <v>87</v>
      </c>
      <c r="C129" s="311" t="s">
        <v>11</v>
      </c>
      <c r="D129" s="311" t="s">
        <v>71</v>
      </c>
      <c r="E129" s="311" t="s">
        <v>400</v>
      </c>
      <c r="F129" s="311">
        <v>13950000</v>
      </c>
      <c r="G129" s="311">
        <v>14410742.789999999</v>
      </c>
      <c r="H129" s="311">
        <v>1</v>
      </c>
    </row>
    <row r="130" spans="2:8" x14ac:dyDescent="0.35">
      <c r="B130" s="311">
        <v>87</v>
      </c>
      <c r="C130" s="311" t="s">
        <v>11</v>
      </c>
      <c r="D130" s="311" t="s">
        <v>71</v>
      </c>
      <c r="E130" s="311" t="s">
        <v>462</v>
      </c>
      <c r="F130" s="311">
        <v>9300000</v>
      </c>
      <c r="G130" s="311">
        <v>9605975</v>
      </c>
      <c r="H130" s="311">
        <v>1</v>
      </c>
    </row>
    <row r="131" spans="2:8" x14ac:dyDescent="0.35">
      <c r="B131" s="311">
        <v>87</v>
      </c>
      <c r="C131" s="311" t="s">
        <v>11</v>
      </c>
      <c r="D131" s="311" t="s">
        <v>279</v>
      </c>
      <c r="E131" s="311" t="s">
        <v>279</v>
      </c>
      <c r="F131" s="311">
        <v>9292500</v>
      </c>
      <c r="G131" s="311">
        <v>9491162.9499999993</v>
      </c>
      <c r="H131" s="311">
        <v>2</v>
      </c>
    </row>
    <row r="132" spans="2:8" x14ac:dyDescent="0.35">
      <c r="B132" s="311">
        <v>87</v>
      </c>
      <c r="C132" s="311" t="s">
        <v>11</v>
      </c>
      <c r="D132" s="311" t="s">
        <v>279</v>
      </c>
      <c r="E132" s="311" t="s">
        <v>425</v>
      </c>
      <c r="F132" s="311">
        <v>9241000</v>
      </c>
      <c r="G132" s="311">
        <v>9571792.5</v>
      </c>
      <c r="H132" s="311">
        <v>1</v>
      </c>
    </row>
    <row r="133" spans="2:8" x14ac:dyDescent="0.35">
      <c r="B133" s="311">
        <v>87</v>
      </c>
      <c r="C133" s="311" t="s">
        <v>11</v>
      </c>
      <c r="D133" s="311" t="s">
        <v>82</v>
      </c>
      <c r="E133" s="311" t="s">
        <v>349</v>
      </c>
      <c r="F133" s="311">
        <v>9300000</v>
      </c>
      <c r="G133" s="311">
        <v>9410533.4000000004</v>
      </c>
      <c r="H133" s="311">
        <v>1</v>
      </c>
    </row>
    <row r="134" spans="2:8" x14ac:dyDescent="0.35">
      <c r="B134" s="311">
        <v>87</v>
      </c>
      <c r="C134" s="311" t="s">
        <v>63</v>
      </c>
      <c r="D134" s="311" t="s">
        <v>73</v>
      </c>
      <c r="E134" s="311" t="s">
        <v>73</v>
      </c>
      <c r="F134" s="311">
        <v>10483000</v>
      </c>
      <c r="G134" s="311">
        <v>11893546.845000001</v>
      </c>
      <c r="H134" s="311">
        <v>2</v>
      </c>
    </row>
    <row r="135" spans="2:8" x14ac:dyDescent="0.35">
      <c r="B135" s="311">
        <v>87</v>
      </c>
      <c r="C135" s="311" t="s">
        <v>63</v>
      </c>
      <c r="D135" s="311" t="s">
        <v>73</v>
      </c>
      <c r="E135" s="311" t="s">
        <v>412</v>
      </c>
      <c r="F135" s="311">
        <v>12786000</v>
      </c>
      <c r="G135" s="311">
        <v>14410742.789999999</v>
      </c>
      <c r="H135" s="311">
        <v>1</v>
      </c>
    </row>
    <row r="136" spans="2:8" x14ac:dyDescent="0.35">
      <c r="B136" s="311">
        <v>87</v>
      </c>
      <c r="C136" s="311" t="s">
        <v>63</v>
      </c>
      <c r="D136" s="311" t="s">
        <v>341</v>
      </c>
      <c r="E136" s="311" t="s">
        <v>341</v>
      </c>
      <c r="F136" s="311">
        <v>9270500</v>
      </c>
      <c r="G136" s="311">
        <v>9700363.8499999996</v>
      </c>
      <c r="H136" s="311">
        <v>2</v>
      </c>
    </row>
    <row r="137" spans="2:8" x14ac:dyDescent="0.35">
      <c r="B137" s="311">
        <v>87</v>
      </c>
      <c r="C137" s="311" t="s">
        <v>63</v>
      </c>
      <c r="D137" s="311" t="s">
        <v>371</v>
      </c>
      <c r="E137" s="311" t="s">
        <v>472</v>
      </c>
      <c r="F137" s="311">
        <v>9300000</v>
      </c>
      <c r="G137" s="311">
        <v>9410533.4000000004</v>
      </c>
      <c r="H137" s="311">
        <v>1</v>
      </c>
    </row>
    <row r="138" spans="2:8" x14ac:dyDescent="0.35">
      <c r="B138" s="311">
        <v>87</v>
      </c>
      <c r="C138" s="311" t="s">
        <v>63</v>
      </c>
      <c r="D138" s="311" t="s">
        <v>371</v>
      </c>
      <c r="E138" s="311" t="s">
        <v>372</v>
      </c>
      <c r="F138" s="311">
        <v>9300000</v>
      </c>
      <c r="G138" s="311">
        <v>9410533.4000000004</v>
      </c>
      <c r="H138" s="311">
        <v>1</v>
      </c>
    </row>
    <row r="139" spans="2:8" x14ac:dyDescent="0.35">
      <c r="B139" s="311">
        <v>87</v>
      </c>
      <c r="C139" s="311" t="s">
        <v>63</v>
      </c>
      <c r="D139" s="311" t="s">
        <v>371</v>
      </c>
      <c r="E139" s="311" t="s">
        <v>393</v>
      </c>
      <c r="F139" s="311">
        <v>8429000</v>
      </c>
      <c r="G139" s="311">
        <v>9491162.9499999993</v>
      </c>
      <c r="H139" s="311">
        <v>2</v>
      </c>
    </row>
    <row r="140" spans="2:8" x14ac:dyDescent="0.35">
      <c r="B140" s="311">
        <v>87</v>
      </c>
      <c r="C140" s="311" t="s">
        <v>63</v>
      </c>
      <c r="D140" s="311" t="s">
        <v>326</v>
      </c>
      <c r="E140" s="311" t="s">
        <v>327</v>
      </c>
      <c r="F140" s="311">
        <v>9300000</v>
      </c>
      <c r="G140" s="311">
        <v>9605975</v>
      </c>
      <c r="H140" s="311">
        <v>1</v>
      </c>
    </row>
    <row r="141" spans="2:8" x14ac:dyDescent="0.35">
      <c r="B141" s="311">
        <v>87</v>
      </c>
      <c r="C141" s="311" t="s">
        <v>64</v>
      </c>
      <c r="D141" s="311" t="s">
        <v>62</v>
      </c>
      <c r="E141" s="311" t="s">
        <v>473</v>
      </c>
      <c r="F141" s="311">
        <v>8581000</v>
      </c>
      <c r="G141" s="311">
        <v>9605975</v>
      </c>
      <c r="H141" s="311">
        <v>1</v>
      </c>
    </row>
    <row r="142" spans="2:8" x14ac:dyDescent="0.35">
      <c r="B142" s="311">
        <v>87</v>
      </c>
      <c r="C142" s="311" t="s">
        <v>64</v>
      </c>
      <c r="D142" s="311" t="s">
        <v>62</v>
      </c>
      <c r="E142" s="311" t="s">
        <v>364</v>
      </c>
      <c r="F142" s="311">
        <v>9285000</v>
      </c>
      <c r="G142" s="311">
        <v>9376350.9000000004</v>
      </c>
      <c r="H142" s="311">
        <v>1</v>
      </c>
    </row>
    <row r="143" spans="2:8" x14ac:dyDescent="0.35">
      <c r="B143" s="311">
        <v>87</v>
      </c>
      <c r="C143" s="311" t="s">
        <v>64</v>
      </c>
      <c r="D143" s="311" t="s">
        <v>80</v>
      </c>
      <c r="E143" s="311" t="s">
        <v>286</v>
      </c>
      <c r="F143" s="311">
        <v>8833000</v>
      </c>
      <c r="G143" s="311">
        <v>9605975</v>
      </c>
      <c r="H143" s="311">
        <v>1</v>
      </c>
    </row>
    <row r="144" spans="2:8" x14ac:dyDescent="0.35">
      <c r="B144" s="311">
        <v>87</v>
      </c>
      <c r="C144" s="311" t="s">
        <v>64</v>
      </c>
      <c r="D144" s="311" t="s">
        <v>74</v>
      </c>
      <c r="E144" s="311" t="s">
        <v>377</v>
      </c>
      <c r="F144" s="311">
        <v>13935000</v>
      </c>
      <c r="G144" s="311">
        <v>14061511</v>
      </c>
      <c r="H144" s="311">
        <v>1</v>
      </c>
    </row>
    <row r="145" spans="2:8" x14ac:dyDescent="0.35">
      <c r="B145" s="311">
        <v>87</v>
      </c>
      <c r="C145" s="311" t="s">
        <v>64</v>
      </c>
      <c r="D145" s="311" t="s">
        <v>74</v>
      </c>
      <c r="E145" s="311" t="s">
        <v>81</v>
      </c>
      <c r="F145" s="311">
        <v>9300000</v>
      </c>
      <c r="G145" s="311">
        <v>9410533.4000000004</v>
      </c>
      <c r="H145" s="311">
        <v>2</v>
      </c>
    </row>
    <row r="146" spans="2:8" x14ac:dyDescent="0.35">
      <c r="B146" s="311">
        <v>87</v>
      </c>
      <c r="C146" s="311" t="s">
        <v>64</v>
      </c>
      <c r="D146" s="311" t="s">
        <v>328</v>
      </c>
      <c r="E146" s="311" t="s">
        <v>328</v>
      </c>
      <c r="F146" s="311">
        <v>8833000</v>
      </c>
      <c r="G146" s="311">
        <v>9605975</v>
      </c>
      <c r="H146" s="311">
        <v>1</v>
      </c>
    </row>
    <row r="147" spans="2:8" x14ac:dyDescent="0.35">
      <c r="B147" s="311">
        <v>87</v>
      </c>
      <c r="C147" s="311" t="s">
        <v>64</v>
      </c>
      <c r="D147" s="311" t="s">
        <v>329</v>
      </c>
      <c r="E147" s="311" t="s">
        <v>397</v>
      </c>
      <c r="F147" s="311">
        <v>9285000</v>
      </c>
      <c r="G147" s="311">
        <v>9376350.9000000004</v>
      </c>
      <c r="H147" s="311">
        <v>1</v>
      </c>
    </row>
    <row r="148" spans="2:8" x14ac:dyDescent="0.35">
      <c r="B148" s="311">
        <v>87</v>
      </c>
      <c r="C148" s="311" t="s">
        <v>86</v>
      </c>
      <c r="D148" s="311" t="s">
        <v>88</v>
      </c>
      <c r="E148" s="311" t="s">
        <v>75</v>
      </c>
      <c r="F148" s="311">
        <v>9208000</v>
      </c>
      <c r="G148" s="311">
        <v>16306928.609999999</v>
      </c>
      <c r="H148" s="311">
        <v>1</v>
      </c>
    </row>
    <row r="149" spans="2:8" x14ac:dyDescent="0.35">
      <c r="B149" s="311">
        <v>87</v>
      </c>
      <c r="C149" s="311" t="s">
        <v>86</v>
      </c>
      <c r="D149" s="311" t="s">
        <v>88</v>
      </c>
      <c r="E149" s="311" t="s">
        <v>67</v>
      </c>
      <c r="F149" s="311">
        <v>8124250</v>
      </c>
      <c r="G149" s="311">
        <v>11976132.550000001</v>
      </c>
      <c r="H149" s="311">
        <v>4</v>
      </c>
    </row>
    <row r="150" spans="2:8" x14ac:dyDescent="0.35">
      <c r="B150" s="311">
        <v>87</v>
      </c>
      <c r="C150" s="311" t="s">
        <v>86</v>
      </c>
      <c r="D150" s="311" t="s">
        <v>89</v>
      </c>
      <c r="E150" s="311" t="s">
        <v>289</v>
      </c>
      <c r="F150" s="311">
        <v>9273500</v>
      </c>
      <c r="G150" s="311">
        <v>9605975</v>
      </c>
      <c r="H150" s="311">
        <v>2</v>
      </c>
    </row>
    <row r="151" spans="2:8" x14ac:dyDescent="0.35">
      <c r="B151" s="311">
        <v>93</v>
      </c>
      <c r="C151" s="311" t="s">
        <v>84</v>
      </c>
      <c r="D151" s="311" t="s">
        <v>84</v>
      </c>
      <c r="E151" s="311" t="s">
        <v>474</v>
      </c>
      <c r="F151" s="311">
        <v>8749000</v>
      </c>
      <c r="G151" s="311">
        <v>30000000</v>
      </c>
      <c r="H151" s="311">
        <v>1</v>
      </c>
    </row>
    <row r="152" spans="2:8" x14ac:dyDescent="0.35">
      <c r="B152" s="311">
        <v>93</v>
      </c>
      <c r="C152" s="311" t="s">
        <v>84</v>
      </c>
      <c r="D152" s="311" t="s">
        <v>90</v>
      </c>
      <c r="E152" s="311" t="s">
        <v>337</v>
      </c>
      <c r="F152" s="311">
        <v>9122000</v>
      </c>
      <c r="G152" s="311">
        <v>21834763.395</v>
      </c>
      <c r="H152" s="311">
        <v>2</v>
      </c>
    </row>
    <row r="153" spans="2:8" x14ac:dyDescent="0.35">
      <c r="B153" s="311">
        <v>93</v>
      </c>
      <c r="C153" s="311" t="s">
        <v>84</v>
      </c>
      <c r="D153" s="311" t="s">
        <v>90</v>
      </c>
      <c r="E153" s="311" t="s">
        <v>351</v>
      </c>
      <c r="F153" s="311">
        <v>8119000</v>
      </c>
      <c r="G153" s="311">
        <v>40001113.659999996</v>
      </c>
      <c r="H153" s="311">
        <v>1</v>
      </c>
    </row>
    <row r="154" spans="2:8" x14ac:dyDescent="0.35">
      <c r="B154" s="311">
        <v>93</v>
      </c>
      <c r="C154" s="311" t="s">
        <v>84</v>
      </c>
      <c r="D154" s="311" t="s">
        <v>90</v>
      </c>
      <c r="E154" s="311" t="s">
        <v>69</v>
      </c>
      <c r="F154" s="311">
        <v>8740333.3333333302</v>
      </c>
      <c r="G154" s="311">
        <v>28336210.350000001</v>
      </c>
      <c r="H154" s="311">
        <v>3</v>
      </c>
    </row>
    <row r="155" spans="2:8" x14ac:dyDescent="0.35">
      <c r="B155" s="311">
        <v>93</v>
      </c>
      <c r="C155" s="311" t="s">
        <v>84</v>
      </c>
      <c r="D155" s="311" t="s">
        <v>90</v>
      </c>
      <c r="E155" s="311" t="s">
        <v>378</v>
      </c>
      <c r="F155" s="311">
        <v>9221000</v>
      </c>
      <c r="G155" s="311">
        <v>25111264</v>
      </c>
      <c r="H155" s="311">
        <v>1</v>
      </c>
    </row>
    <row r="156" spans="2:8" x14ac:dyDescent="0.35">
      <c r="B156" s="311">
        <v>93</v>
      </c>
      <c r="C156" s="311" t="s">
        <v>11</v>
      </c>
      <c r="D156" s="311" t="s">
        <v>85</v>
      </c>
      <c r="E156" s="311" t="s">
        <v>384</v>
      </c>
      <c r="F156" s="311">
        <v>8833000</v>
      </c>
      <c r="G156" s="311">
        <v>31112233.780000001</v>
      </c>
      <c r="H156" s="311">
        <v>1</v>
      </c>
    </row>
    <row r="157" spans="2:8" x14ac:dyDescent="0.35">
      <c r="B157" s="311">
        <v>93</v>
      </c>
      <c r="C157" s="311" t="s">
        <v>11</v>
      </c>
      <c r="D157" s="311" t="s">
        <v>85</v>
      </c>
      <c r="E157" s="311" t="s">
        <v>278</v>
      </c>
      <c r="F157" s="311">
        <v>9221000</v>
      </c>
      <c r="G157" s="311">
        <v>20576000</v>
      </c>
      <c r="H157" s="311">
        <v>1</v>
      </c>
    </row>
    <row r="158" spans="2:8" x14ac:dyDescent="0.35">
      <c r="B158" s="311">
        <v>93</v>
      </c>
      <c r="C158" s="311" t="s">
        <v>11</v>
      </c>
      <c r="D158" s="311" t="s">
        <v>85</v>
      </c>
      <c r="E158" s="311" t="s">
        <v>380</v>
      </c>
      <c r="F158" s="311">
        <v>8581000</v>
      </c>
      <c r="G158" s="311">
        <v>19282608.940000001</v>
      </c>
      <c r="H158" s="311">
        <v>1</v>
      </c>
    </row>
    <row r="159" spans="2:8" x14ac:dyDescent="0.35">
      <c r="B159" s="311">
        <v>93</v>
      </c>
      <c r="C159" s="311" t="s">
        <v>11</v>
      </c>
      <c r="D159" s="311" t="s">
        <v>70</v>
      </c>
      <c r="E159" s="311" t="s">
        <v>70</v>
      </c>
      <c r="F159" s="311">
        <v>8749000</v>
      </c>
      <c r="G159" s="311">
        <v>19900000</v>
      </c>
      <c r="H159" s="311">
        <v>1</v>
      </c>
    </row>
    <row r="160" spans="2:8" x14ac:dyDescent="0.35">
      <c r="B160" s="311">
        <v>93</v>
      </c>
      <c r="C160" s="311" t="s">
        <v>11</v>
      </c>
      <c r="D160" s="311" t="s">
        <v>347</v>
      </c>
      <c r="E160" s="311" t="s">
        <v>347</v>
      </c>
      <c r="F160" s="311">
        <v>8371000</v>
      </c>
      <c r="G160" s="311">
        <v>31826635.969999999</v>
      </c>
      <c r="H160" s="311">
        <v>1</v>
      </c>
    </row>
    <row r="161" spans="2:9" x14ac:dyDescent="0.35">
      <c r="B161" s="311">
        <v>93</v>
      </c>
      <c r="C161" s="311" t="s">
        <v>11</v>
      </c>
      <c r="D161" s="311" t="s">
        <v>78</v>
      </c>
      <c r="E161" s="311" t="s">
        <v>369</v>
      </c>
      <c r="F161" s="311">
        <v>9112500</v>
      </c>
      <c r="G161" s="311">
        <v>24101109.385000002</v>
      </c>
      <c r="H161" s="311">
        <v>2</v>
      </c>
    </row>
    <row r="162" spans="2:9" x14ac:dyDescent="0.35">
      <c r="B162" s="311">
        <v>93</v>
      </c>
      <c r="C162" s="311" t="s">
        <v>11</v>
      </c>
      <c r="D162" s="311" t="s">
        <v>78</v>
      </c>
      <c r="E162" s="311" t="s">
        <v>83</v>
      </c>
      <c r="F162" s="311">
        <v>8211500</v>
      </c>
      <c r="G162" s="311">
        <v>17067500</v>
      </c>
      <c r="H162" s="311">
        <v>2</v>
      </c>
    </row>
    <row r="163" spans="2:9" x14ac:dyDescent="0.35">
      <c r="B163" s="311">
        <v>93</v>
      </c>
      <c r="C163" s="311" t="s">
        <v>11</v>
      </c>
      <c r="D163" s="311" t="s">
        <v>78</v>
      </c>
      <c r="E163" s="311" t="s">
        <v>389</v>
      </c>
      <c r="F163" s="311">
        <v>9127000</v>
      </c>
      <c r="G163" s="311">
        <v>21204893.07</v>
      </c>
      <c r="H163" s="311">
        <v>1</v>
      </c>
    </row>
    <row r="164" spans="2:9" x14ac:dyDescent="0.35">
      <c r="B164" s="311">
        <v>93</v>
      </c>
      <c r="C164" s="311" t="s">
        <v>11</v>
      </c>
      <c r="D164" s="311" t="s">
        <v>78</v>
      </c>
      <c r="E164" s="311" t="s">
        <v>399</v>
      </c>
      <c r="F164" s="311">
        <v>7951000</v>
      </c>
      <c r="G164" s="311">
        <v>29695601.420000002</v>
      </c>
      <c r="H164" s="311">
        <v>1</v>
      </c>
    </row>
    <row r="165" spans="2:9" x14ac:dyDescent="0.35">
      <c r="B165" s="311">
        <v>93</v>
      </c>
      <c r="C165" s="311" t="s">
        <v>12</v>
      </c>
      <c r="D165" s="311" t="s">
        <v>239</v>
      </c>
      <c r="E165" s="311" t="s">
        <v>381</v>
      </c>
      <c r="F165" s="311">
        <v>9085000</v>
      </c>
      <c r="G165" s="311">
        <v>28850000</v>
      </c>
      <c r="H165" s="311">
        <v>1</v>
      </c>
    </row>
    <row r="166" spans="2:9" x14ac:dyDescent="0.35">
      <c r="B166" s="311">
        <v>93</v>
      </c>
      <c r="C166" s="311" t="s">
        <v>63</v>
      </c>
      <c r="D166" s="311" t="s">
        <v>277</v>
      </c>
      <c r="E166" s="311" t="s">
        <v>475</v>
      </c>
      <c r="F166" s="311">
        <v>7573000</v>
      </c>
      <c r="G166" s="311">
        <v>30640000</v>
      </c>
      <c r="H166" s="311">
        <v>1</v>
      </c>
    </row>
    <row r="167" spans="2:9" x14ac:dyDescent="0.35">
      <c r="B167" s="311">
        <v>93</v>
      </c>
      <c r="C167" s="311" t="s">
        <v>63</v>
      </c>
      <c r="D167" s="311" t="s">
        <v>341</v>
      </c>
      <c r="E167" s="311" t="s">
        <v>341</v>
      </c>
      <c r="F167" s="311">
        <v>9001000</v>
      </c>
      <c r="G167" s="311">
        <v>27668000</v>
      </c>
      <c r="H167" s="311">
        <v>1</v>
      </c>
    </row>
    <row r="168" spans="2:9" x14ac:dyDescent="0.35">
      <c r="B168" s="311">
        <v>93</v>
      </c>
      <c r="C168" s="311" t="s">
        <v>63</v>
      </c>
      <c r="D168" s="311" t="s">
        <v>371</v>
      </c>
      <c r="E168" s="311" t="s">
        <v>393</v>
      </c>
      <c r="F168" s="311">
        <v>8959000</v>
      </c>
      <c r="G168" s="311">
        <v>25800000</v>
      </c>
      <c r="H168" s="311">
        <v>1</v>
      </c>
    </row>
    <row r="169" spans="2:9" x14ac:dyDescent="0.35">
      <c r="B169" s="311">
        <v>93</v>
      </c>
      <c r="C169" s="311" t="s">
        <v>64</v>
      </c>
      <c r="D169" s="311" t="s">
        <v>64</v>
      </c>
      <c r="E169" s="311" t="s">
        <v>427</v>
      </c>
      <c r="F169" s="311">
        <v>9300000</v>
      </c>
      <c r="G169" s="311">
        <v>20700000</v>
      </c>
      <c r="H169" s="311">
        <v>1</v>
      </c>
    </row>
    <row r="170" spans="2:9" x14ac:dyDescent="0.35">
      <c r="B170" s="311">
        <v>93</v>
      </c>
      <c r="C170" s="311" t="s">
        <v>64</v>
      </c>
      <c r="D170" s="311" t="s">
        <v>62</v>
      </c>
      <c r="E170" s="311" t="s">
        <v>62</v>
      </c>
      <c r="F170" s="311">
        <v>7573000</v>
      </c>
      <c r="G170" s="311">
        <v>16837000</v>
      </c>
      <c r="H170" s="311">
        <v>1</v>
      </c>
    </row>
    <row r="171" spans="2:9" x14ac:dyDescent="0.35">
      <c r="B171" s="311">
        <v>93</v>
      </c>
      <c r="C171" s="311" t="s">
        <v>64</v>
      </c>
      <c r="D171" s="311" t="s">
        <v>330</v>
      </c>
      <c r="E171" s="311" t="s">
        <v>331</v>
      </c>
      <c r="F171" s="311">
        <v>9127000</v>
      </c>
      <c r="G171" s="311">
        <v>33800000</v>
      </c>
      <c r="H171" s="311">
        <v>1</v>
      </c>
    </row>
    <row r="172" spans="2:9" x14ac:dyDescent="0.35">
      <c r="B172" s="311">
        <v>93</v>
      </c>
      <c r="C172" s="311" t="s">
        <v>64</v>
      </c>
      <c r="D172" s="311" t="s">
        <v>414</v>
      </c>
      <c r="E172" s="311" t="s">
        <v>414</v>
      </c>
      <c r="F172" s="311">
        <v>6692000</v>
      </c>
      <c r="G172" s="311">
        <v>37250000</v>
      </c>
      <c r="H172" s="311">
        <v>1</v>
      </c>
    </row>
    <row r="173" spans="2:9" x14ac:dyDescent="0.35">
      <c r="B173" s="311">
        <v>93</v>
      </c>
      <c r="C173" s="311" t="s">
        <v>86</v>
      </c>
      <c r="D173" s="311" t="s">
        <v>89</v>
      </c>
      <c r="E173" s="311" t="s">
        <v>89</v>
      </c>
      <c r="F173" s="311">
        <v>9267000</v>
      </c>
      <c r="G173" s="311">
        <v>21360000</v>
      </c>
      <c r="H173" s="311">
        <v>2</v>
      </c>
    </row>
    <row r="174" spans="2:9" x14ac:dyDescent="0.35">
      <c r="B174" s="311">
        <v>105</v>
      </c>
      <c r="C174" s="311" t="s">
        <v>63</v>
      </c>
      <c r="D174" s="311" t="s">
        <v>73</v>
      </c>
      <c r="E174" s="311" t="s">
        <v>73</v>
      </c>
      <c r="F174" s="311">
        <v>9300000</v>
      </c>
      <c r="G174" s="311">
        <v>9599973.5399999991</v>
      </c>
      <c r="H174" s="311">
        <v>1</v>
      </c>
    </row>
    <row r="175" spans="2:9" x14ac:dyDescent="0.35">
      <c r="B175" s="311">
        <v>4</v>
      </c>
      <c r="C175" s="311" t="s">
        <v>84</v>
      </c>
      <c r="D175" s="311" t="s">
        <v>90</v>
      </c>
      <c r="E175" s="311" t="s">
        <v>69</v>
      </c>
      <c r="F175" s="311">
        <v>23451214.414999999</v>
      </c>
      <c r="G175" s="311">
        <v>23451214.414999999</v>
      </c>
      <c r="I175" s="311">
        <v>2</v>
      </c>
    </row>
    <row r="176" spans="2:9" x14ac:dyDescent="0.35">
      <c r="B176" s="311">
        <v>4</v>
      </c>
      <c r="C176" s="311" t="s">
        <v>11</v>
      </c>
      <c r="D176" s="311" t="s">
        <v>347</v>
      </c>
      <c r="E176" s="311" t="s">
        <v>347</v>
      </c>
      <c r="F176" s="311">
        <v>34404518.298598103</v>
      </c>
      <c r="G176" s="311">
        <v>34409261.284112103</v>
      </c>
      <c r="I176" s="311">
        <v>107</v>
      </c>
    </row>
    <row r="177" spans="2:9" x14ac:dyDescent="0.35">
      <c r="B177" s="311">
        <v>4</v>
      </c>
      <c r="C177" s="311" t="s">
        <v>11</v>
      </c>
      <c r="D177" s="311" t="s">
        <v>78</v>
      </c>
      <c r="E177" s="311" t="s">
        <v>386</v>
      </c>
      <c r="F177" s="311">
        <v>20283855.309999999</v>
      </c>
      <c r="G177" s="311">
        <v>20283855.309999999</v>
      </c>
      <c r="I177" s="311">
        <v>1</v>
      </c>
    </row>
    <row r="178" spans="2:9" x14ac:dyDescent="0.35">
      <c r="B178" s="311">
        <v>4</v>
      </c>
      <c r="C178" s="311" t="s">
        <v>12</v>
      </c>
      <c r="D178" s="311" t="s">
        <v>72</v>
      </c>
      <c r="E178" s="311" t="s">
        <v>366</v>
      </c>
      <c r="F178" s="311">
        <v>19728646.25</v>
      </c>
      <c r="G178" s="311">
        <v>19728646.25</v>
      </c>
      <c r="I178" s="311">
        <v>1</v>
      </c>
    </row>
    <row r="179" spans="2:9" x14ac:dyDescent="0.35">
      <c r="B179" s="311">
        <v>4</v>
      </c>
      <c r="C179" s="311" t="s">
        <v>64</v>
      </c>
      <c r="D179" s="311" t="s">
        <v>74</v>
      </c>
      <c r="E179" s="311" t="s">
        <v>81</v>
      </c>
      <c r="F179" s="311">
        <v>22316417.18</v>
      </c>
      <c r="G179" s="311">
        <v>22316417.18</v>
      </c>
      <c r="I179" s="311">
        <v>1</v>
      </c>
    </row>
    <row r="180" spans="2:9" x14ac:dyDescent="0.35">
      <c r="B180" s="311">
        <v>4</v>
      </c>
      <c r="C180" s="311" t="s">
        <v>86</v>
      </c>
      <c r="D180" s="311" t="s">
        <v>86</v>
      </c>
      <c r="E180" s="311" t="s">
        <v>86</v>
      </c>
      <c r="F180" s="311">
        <v>13602987.050000001</v>
      </c>
      <c r="G180" s="311">
        <v>13602987.050000001</v>
      </c>
      <c r="I180" s="311">
        <v>1</v>
      </c>
    </row>
    <row r="181" spans="2:9" x14ac:dyDescent="0.35">
      <c r="B181" s="311">
        <v>4</v>
      </c>
      <c r="C181" s="311" t="s">
        <v>86</v>
      </c>
      <c r="D181" s="311" t="s">
        <v>86</v>
      </c>
      <c r="E181" s="311" t="s">
        <v>395</v>
      </c>
      <c r="F181" s="311">
        <v>14447537.92</v>
      </c>
      <c r="G181" s="311">
        <v>14447537.92</v>
      </c>
      <c r="I181" s="311">
        <v>1</v>
      </c>
    </row>
    <row r="182" spans="2:9" x14ac:dyDescent="0.35">
      <c r="B182" s="311">
        <v>4</v>
      </c>
      <c r="C182" s="311" t="s">
        <v>86</v>
      </c>
      <c r="D182" s="311" t="s">
        <v>88</v>
      </c>
      <c r="E182" s="311" t="s">
        <v>67</v>
      </c>
      <c r="F182" s="311">
        <v>15703015.189999999</v>
      </c>
      <c r="G182" s="311">
        <v>15703015.189999999</v>
      </c>
      <c r="I182" s="311">
        <v>1</v>
      </c>
    </row>
    <row r="183" spans="2:9" x14ac:dyDescent="0.35">
      <c r="B183" s="311">
        <v>14</v>
      </c>
      <c r="C183" s="311" t="s">
        <v>84</v>
      </c>
      <c r="D183" s="311" t="s">
        <v>301</v>
      </c>
      <c r="E183" s="311" t="s">
        <v>302</v>
      </c>
      <c r="F183" s="311">
        <v>17423286.890000001</v>
      </c>
      <c r="G183" s="311">
        <v>17435633.534000002</v>
      </c>
      <c r="I183" s="311">
        <v>5</v>
      </c>
    </row>
    <row r="184" spans="2:9" x14ac:dyDescent="0.35">
      <c r="B184" s="311">
        <v>32</v>
      </c>
      <c r="C184" s="311" t="s">
        <v>11</v>
      </c>
      <c r="D184" s="311" t="s">
        <v>85</v>
      </c>
      <c r="E184" s="311" t="s">
        <v>405</v>
      </c>
      <c r="F184" s="311">
        <v>13950000.039999999</v>
      </c>
      <c r="G184" s="311">
        <v>14348805.67</v>
      </c>
      <c r="I184" s="311">
        <v>1</v>
      </c>
    </row>
    <row r="185" spans="2:9" x14ac:dyDescent="0.35">
      <c r="B185" s="311">
        <v>32</v>
      </c>
      <c r="C185" s="311" t="s">
        <v>11</v>
      </c>
      <c r="D185" s="311" t="s">
        <v>82</v>
      </c>
      <c r="E185" s="311" t="s">
        <v>374</v>
      </c>
      <c r="F185" s="311">
        <v>15616337.48</v>
      </c>
      <c r="G185" s="311">
        <v>15616337.48</v>
      </c>
      <c r="I185" s="311">
        <v>1</v>
      </c>
    </row>
    <row r="186" spans="2:9" x14ac:dyDescent="0.35">
      <c r="B186" s="311">
        <v>32</v>
      </c>
      <c r="C186" s="311" t="s">
        <v>12</v>
      </c>
      <c r="D186" s="311" t="s">
        <v>72</v>
      </c>
      <c r="E186" s="311" t="s">
        <v>394</v>
      </c>
      <c r="F186" s="311">
        <v>22289757.93</v>
      </c>
      <c r="G186" s="311">
        <v>22289757.93</v>
      </c>
      <c r="I186" s="311">
        <v>1</v>
      </c>
    </row>
    <row r="187" spans="2:9" x14ac:dyDescent="0.35">
      <c r="B187" s="311">
        <v>32</v>
      </c>
      <c r="C187" s="311" t="s">
        <v>63</v>
      </c>
      <c r="D187" s="311" t="s">
        <v>375</v>
      </c>
      <c r="E187" s="311" t="s">
        <v>375</v>
      </c>
      <c r="F187" s="311">
        <v>15385145.76</v>
      </c>
      <c r="G187" s="311">
        <v>15385145.76</v>
      </c>
      <c r="I187" s="311">
        <v>1</v>
      </c>
    </row>
    <row r="188" spans="2:9" x14ac:dyDescent="0.35">
      <c r="B188" s="311">
        <v>87</v>
      </c>
      <c r="C188" s="311" t="s">
        <v>84</v>
      </c>
      <c r="D188" s="311" t="s">
        <v>90</v>
      </c>
      <c r="E188" s="311" t="s">
        <v>419</v>
      </c>
      <c r="F188" s="311">
        <v>17161309.079999998</v>
      </c>
      <c r="G188" s="311">
        <v>17161309.079999998</v>
      </c>
      <c r="I188" s="311">
        <v>1</v>
      </c>
    </row>
    <row r="189" spans="2:9" x14ac:dyDescent="0.35">
      <c r="B189" s="311">
        <v>87</v>
      </c>
      <c r="C189" s="311" t="s">
        <v>63</v>
      </c>
      <c r="D189" s="311" t="s">
        <v>295</v>
      </c>
      <c r="E189" s="311" t="s">
        <v>361</v>
      </c>
      <c r="F189" s="311">
        <v>23337488.91</v>
      </c>
      <c r="G189" s="311">
        <v>23337488.91</v>
      </c>
      <c r="I189" s="311">
        <v>2</v>
      </c>
    </row>
    <row r="190" spans="2:9" x14ac:dyDescent="0.35">
      <c r="B190" s="311">
        <v>88</v>
      </c>
      <c r="C190" s="311" t="s">
        <v>84</v>
      </c>
      <c r="D190" s="311" t="s">
        <v>90</v>
      </c>
      <c r="E190" s="311" t="s">
        <v>351</v>
      </c>
      <c r="F190" s="311">
        <v>17521341.16</v>
      </c>
      <c r="G190" s="311">
        <v>17521341.16</v>
      </c>
      <c r="I190" s="311">
        <v>1</v>
      </c>
    </row>
    <row r="191" spans="2:9" x14ac:dyDescent="0.35">
      <c r="B191" s="311">
        <v>88</v>
      </c>
      <c r="C191" s="311" t="s">
        <v>64</v>
      </c>
      <c r="D191" s="311" t="s">
        <v>74</v>
      </c>
      <c r="E191" s="311" t="s">
        <v>81</v>
      </c>
      <c r="F191" s="311">
        <v>19987188.309999999</v>
      </c>
      <c r="G191" s="311">
        <v>19987188.309999999</v>
      </c>
      <c r="I191" s="311">
        <v>1</v>
      </c>
    </row>
    <row r="192" spans="2:9" x14ac:dyDescent="0.35">
      <c r="B192" s="311">
        <v>88</v>
      </c>
      <c r="C192" s="311" t="s">
        <v>64</v>
      </c>
      <c r="D192" s="311" t="s">
        <v>329</v>
      </c>
      <c r="E192" s="311" t="s">
        <v>345</v>
      </c>
      <c r="F192" s="311">
        <v>17606891.02</v>
      </c>
      <c r="G192" s="311">
        <v>17606891.02</v>
      </c>
      <c r="I192" s="311">
        <v>1</v>
      </c>
    </row>
    <row r="193" spans="2:9" x14ac:dyDescent="0.35">
      <c r="B193" s="311">
        <v>93</v>
      </c>
      <c r="C193" s="311" t="s">
        <v>84</v>
      </c>
      <c r="D193" s="311" t="s">
        <v>77</v>
      </c>
      <c r="E193" s="311" t="s">
        <v>335</v>
      </c>
      <c r="F193" s="311">
        <v>25632012.5</v>
      </c>
      <c r="G193" s="311">
        <v>25632012.5</v>
      </c>
      <c r="I193" s="311">
        <v>1</v>
      </c>
    </row>
    <row r="194" spans="2:9" x14ac:dyDescent="0.35">
      <c r="B194" s="311">
        <v>93</v>
      </c>
      <c r="C194" s="311" t="s">
        <v>84</v>
      </c>
      <c r="D194" s="311" t="s">
        <v>90</v>
      </c>
      <c r="E194" s="311" t="s">
        <v>378</v>
      </c>
      <c r="F194" s="311">
        <v>18720715.690000001</v>
      </c>
      <c r="G194" s="311">
        <v>18720715.690000001</v>
      </c>
      <c r="I194" s="311">
        <v>1</v>
      </c>
    </row>
    <row r="195" spans="2:9" x14ac:dyDescent="0.35">
      <c r="B195" s="311">
        <v>93</v>
      </c>
      <c r="C195" s="311" t="s">
        <v>84</v>
      </c>
      <c r="D195" s="311" t="s">
        <v>90</v>
      </c>
      <c r="E195" s="311" t="s">
        <v>422</v>
      </c>
      <c r="F195" s="311">
        <v>18540550</v>
      </c>
      <c r="G195" s="311">
        <v>18540550</v>
      </c>
      <c r="I195" s="311">
        <v>1</v>
      </c>
    </row>
    <row r="196" spans="2:9" x14ac:dyDescent="0.35">
      <c r="B196" s="311">
        <v>93</v>
      </c>
      <c r="C196" s="311" t="s">
        <v>11</v>
      </c>
      <c r="D196" s="311" t="s">
        <v>70</v>
      </c>
      <c r="E196" s="311" t="s">
        <v>426</v>
      </c>
      <c r="F196" s="311">
        <v>23949455.07</v>
      </c>
      <c r="G196" s="311">
        <v>23949455.07</v>
      </c>
      <c r="I196" s="311">
        <v>1</v>
      </c>
    </row>
    <row r="197" spans="2:9" x14ac:dyDescent="0.35">
      <c r="B197" s="311">
        <v>93</v>
      </c>
      <c r="C197" s="311" t="s">
        <v>11</v>
      </c>
      <c r="D197" s="311" t="s">
        <v>78</v>
      </c>
      <c r="E197" s="311" t="s">
        <v>386</v>
      </c>
      <c r="F197" s="311">
        <v>19403524.573333301</v>
      </c>
      <c r="G197" s="311">
        <v>19470191.239999998</v>
      </c>
      <c r="I197" s="311">
        <v>3</v>
      </c>
    </row>
    <row r="198" spans="2:9" x14ac:dyDescent="0.35">
      <c r="B198" s="311">
        <v>93</v>
      </c>
      <c r="C198" s="311" t="s">
        <v>11</v>
      </c>
      <c r="D198" s="311" t="s">
        <v>78</v>
      </c>
      <c r="E198" s="311" t="s">
        <v>340</v>
      </c>
      <c r="F198" s="311">
        <v>21454791.75</v>
      </c>
      <c r="G198" s="311">
        <v>21454791.75</v>
      </c>
      <c r="I198" s="311">
        <v>1</v>
      </c>
    </row>
    <row r="199" spans="2:9" x14ac:dyDescent="0.35">
      <c r="B199" s="311">
        <v>93</v>
      </c>
      <c r="C199" s="311" t="s">
        <v>11</v>
      </c>
      <c r="D199" s="311" t="s">
        <v>71</v>
      </c>
      <c r="E199" s="311" t="s">
        <v>71</v>
      </c>
      <c r="F199" s="311">
        <v>17384075.039999999</v>
      </c>
      <c r="G199" s="311">
        <v>17384075.039999999</v>
      </c>
      <c r="I199" s="311">
        <v>1</v>
      </c>
    </row>
    <row r="200" spans="2:9" x14ac:dyDescent="0.35">
      <c r="B200" s="311">
        <v>93</v>
      </c>
      <c r="C200" s="311" t="s">
        <v>11</v>
      </c>
      <c r="D200" s="311" t="s">
        <v>279</v>
      </c>
      <c r="E200" s="311" t="s">
        <v>279</v>
      </c>
      <c r="F200" s="311">
        <v>16390353.130000001</v>
      </c>
      <c r="G200" s="311">
        <v>16481918.154999999</v>
      </c>
      <c r="I200" s="311">
        <v>2</v>
      </c>
    </row>
    <row r="201" spans="2:9" x14ac:dyDescent="0.35">
      <c r="B201" s="311">
        <v>93</v>
      </c>
      <c r="C201" s="311" t="s">
        <v>11</v>
      </c>
      <c r="D201" s="311" t="s">
        <v>82</v>
      </c>
      <c r="E201" s="311" t="s">
        <v>349</v>
      </c>
      <c r="F201" s="311">
        <v>20480550</v>
      </c>
      <c r="G201" s="311">
        <v>20580550</v>
      </c>
      <c r="I201" s="311">
        <v>1</v>
      </c>
    </row>
    <row r="202" spans="2:9" x14ac:dyDescent="0.35">
      <c r="B202" s="311">
        <v>93</v>
      </c>
      <c r="C202" s="311" t="s">
        <v>12</v>
      </c>
      <c r="D202" s="311" t="s">
        <v>12</v>
      </c>
      <c r="E202" s="311" t="s">
        <v>421</v>
      </c>
      <c r="F202" s="311">
        <v>40618033.701875001</v>
      </c>
      <c r="G202" s="311">
        <v>40716443.053750001</v>
      </c>
      <c r="I202" s="311">
        <v>16</v>
      </c>
    </row>
    <row r="203" spans="2:9" x14ac:dyDescent="0.35">
      <c r="B203" s="311">
        <v>93</v>
      </c>
      <c r="C203" s="311" t="s">
        <v>13</v>
      </c>
      <c r="D203" s="311" t="s">
        <v>87</v>
      </c>
      <c r="E203" s="311" t="s">
        <v>282</v>
      </c>
      <c r="F203" s="311">
        <v>17882284.515000001</v>
      </c>
      <c r="G203" s="311">
        <v>18009740.27</v>
      </c>
      <c r="I203" s="311">
        <v>2</v>
      </c>
    </row>
    <row r="204" spans="2:9" x14ac:dyDescent="0.35">
      <c r="B204" s="311">
        <v>93</v>
      </c>
      <c r="C204" s="311" t="s">
        <v>63</v>
      </c>
      <c r="D204" s="311" t="s">
        <v>277</v>
      </c>
      <c r="E204" s="311" t="s">
        <v>277</v>
      </c>
      <c r="F204" s="311">
        <v>20235550</v>
      </c>
      <c r="G204" s="311">
        <v>20335550</v>
      </c>
      <c r="I204" s="311">
        <v>1</v>
      </c>
    </row>
    <row r="205" spans="2:9" x14ac:dyDescent="0.35">
      <c r="B205" s="311">
        <v>93</v>
      </c>
      <c r="C205" s="311" t="s">
        <v>63</v>
      </c>
      <c r="D205" s="311" t="s">
        <v>341</v>
      </c>
      <c r="E205" s="311" t="s">
        <v>341</v>
      </c>
      <c r="F205" s="311">
        <v>20763788.629999999</v>
      </c>
      <c r="G205" s="311">
        <v>20871515.616666701</v>
      </c>
      <c r="I205" s="311">
        <v>3</v>
      </c>
    </row>
    <row r="206" spans="2:9" x14ac:dyDescent="0.35">
      <c r="B206" s="311">
        <v>93</v>
      </c>
      <c r="C206" s="311" t="s">
        <v>63</v>
      </c>
      <c r="D206" s="311" t="s">
        <v>304</v>
      </c>
      <c r="E206" s="311" t="s">
        <v>306</v>
      </c>
      <c r="F206" s="311">
        <v>18296904.559999999</v>
      </c>
      <c r="G206" s="311">
        <v>18466237.370000001</v>
      </c>
      <c r="I206" s="311">
        <v>1</v>
      </c>
    </row>
    <row r="207" spans="2:9" x14ac:dyDescent="0.35">
      <c r="B207" s="311">
        <v>93</v>
      </c>
      <c r="C207" s="311" t="s">
        <v>64</v>
      </c>
      <c r="D207" s="311" t="s">
        <v>64</v>
      </c>
      <c r="E207" s="311" t="s">
        <v>342</v>
      </c>
      <c r="F207" s="311">
        <v>14907840.960000001</v>
      </c>
      <c r="G207" s="311">
        <v>14907840.960000001</v>
      </c>
      <c r="I207" s="311">
        <v>1</v>
      </c>
    </row>
    <row r="208" spans="2:9" x14ac:dyDescent="0.35">
      <c r="B208" s="311">
        <v>93</v>
      </c>
      <c r="C208" s="311" t="s">
        <v>64</v>
      </c>
      <c r="D208" s="311" t="s">
        <v>64</v>
      </c>
      <c r="E208" s="311" t="s">
        <v>362</v>
      </c>
      <c r="F208" s="311">
        <v>13562718.300000001</v>
      </c>
      <c r="G208" s="311">
        <v>20562718.300000001</v>
      </c>
      <c r="I208" s="311">
        <v>1</v>
      </c>
    </row>
    <row r="209" spans="2:9" x14ac:dyDescent="0.35">
      <c r="B209" s="311">
        <v>93</v>
      </c>
      <c r="C209" s="311" t="s">
        <v>64</v>
      </c>
      <c r="D209" s="311" t="s">
        <v>62</v>
      </c>
      <c r="E209" s="311" t="s">
        <v>343</v>
      </c>
      <c r="F209" s="311">
        <v>17729941.719999999</v>
      </c>
      <c r="G209" s="311">
        <v>17886550.469999999</v>
      </c>
      <c r="I209" s="311">
        <v>1</v>
      </c>
    </row>
    <row r="210" spans="2:9" x14ac:dyDescent="0.35">
      <c r="B210" s="311">
        <v>93</v>
      </c>
      <c r="C210" s="311" t="s">
        <v>64</v>
      </c>
      <c r="D210" s="311" t="s">
        <v>330</v>
      </c>
      <c r="E210" s="311" t="s">
        <v>331</v>
      </c>
      <c r="F210" s="311">
        <v>23735206.48</v>
      </c>
      <c r="G210" s="311">
        <v>23735206.48</v>
      </c>
      <c r="I210" s="311">
        <v>1</v>
      </c>
    </row>
    <row r="211" spans="2:9" x14ac:dyDescent="0.35">
      <c r="B211" s="311">
        <v>93</v>
      </c>
      <c r="C211" s="311" t="s">
        <v>64</v>
      </c>
      <c r="D211" s="311" t="s">
        <v>65</v>
      </c>
      <c r="E211" s="311" t="s">
        <v>390</v>
      </c>
      <c r="F211" s="311">
        <v>14414158.33</v>
      </c>
      <c r="G211" s="311">
        <v>14414158.33</v>
      </c>
      <c r="I211" s="311">
        <v>1</v>
      </c>
    </row>
    <row r="212" spans="2:9" x14ac:dyDescent="0.35">
      <c r="B212" s="311">
        <v>93</v>
      </c>
      <c r="C212" s="311" t="s">
        <v>64</v>
      </c>
      <c r="D212" s="311" t="s">
        <v>329</v>
      </c>
      <c r="E212" s="311" t="s">
        <v>345</v>
      </c>
      <c r="F212" s="311">
        <v>16497774</v>
      </c>
      <c r="G212" s="311">
        <v>16612644</v>
      </c>
      <c r="I212" s="311">
        <v>1</v>
      </c>
    </row>
    <row r="213" spans="2:9" x14ac:dyDescent="0.35">
      <c r="B213" s="311">
        <v>93</v>
      </c>
      <c r="C213" s="311" t="s">
        <v>86</v>
      </c>
      <c r="D213" s="311" t="s">
        <v>88</v>
      </c>
      <c r="E213" s="311" t="s">
        <v>66</v>
      </c>
      <c r="F213" s="311">
        <v>19990012.373333301</v>
      </c>
      <c r="G213" s="311">
        <v>20143163.196666699</v>
      </c>
      <c r="I213" s="311">
        <v>3</v>
      </c>
    </row>
    <row r="214" spans="2:9" x14ac:dyDescent="0.35">
      <c r="B214" s="311">
        <v>93</v>
      </c>
      <c r="C214" s="311" t="s">
        <v>86</v>
      </c>
      <c r="D214" s="311" t="s">
        <v>88</v>
      </c>
      <c r="E214" s="311" t="s">
        <v>75</v>
      </c>
      <c r="F214" s="311">
        <v>18753248.329999998</v>
      </c>
      <c r="G214" s="311">
        <v>18813609.25</v>
      </c>
      <c r="I214" s="311">
        <v>1</v>
      </c>
    </row>
    <row r="215" spans="2:9" x14ac:dyDescent="0.35">
      <c r="B215" s="311">
        <v>93</v>
      </c>
      <c r="C215" s="311" t="s">
        <v>86</v>
      </c>
      <c r="D215" s="311" t="s">
        <v>88</v>
      </c>
      <c r="E215" s="311" t="s">
        <v>67</v>
      </c>
      <c r="F215" s="311">
        <v>17629836.885000002</v>
      </c>
      <c r="G215" s="311">
        <v>17665338.547499999</v>
      </c>
      <c r="I215" s="311">
        <v>4</v>
      </c>
    </row>
    <row r="216" spans="2:9" x14ac:dyDescent="0.35">
      <c r="B216" s="311">
        <v>93</v>
      </c>
      <c r="C216" s="311" t="s">
        <v>86</v>
      </c>
      <c r="D216" s="311" t="s">
        <v>276</v>
      </c>
      <c r="E216" s="311" t="s">
        <v>305</v>
      </c>
      <c r="F216" s="311">
        <v>20384780</v>
      </c>
      <c r="G216" s="311">
        <v>20466780</v>
      </c>
      <c r="I216" s="311">
        <v>1</v>
      </c>
    </row>
    <row r="217" spans="2:9" x14ac:dyDescent="0.35">
      <c r="B217" s="311">
        <v>93</v>
      </c>
      <c r="C217" s="311" t="s">
        <v>86</v>
      </c>
      <c r="D217" s="311" t="s">
        <v>89</v>
      </c>
      <c r="E217" s="311" t="s">
        <v>89</v>
      </c>
      <c r="F217" s="311">
        <v>19113491.559999999</v>
      </c>
      <c r="G217" s="311">
        <v>19387422.370000001</v>
      </c>
      <c r="I217" s="311">
        <v>1</v>
      </c>
    </row>
    <row r="218" spans="2:9" x14ac:dyDescent="0.35">
      <c r="B218" s="311">
        <v>93</v>
      </c>
      <c r="C218" s="311" t="s">
        <v>86</v>
      </c>
      <c r="D218" s="311" t="s">
        <v>89</v>
      </c>
      <c r="E218" s="311" t="s">
        <v>456</v>
      </c>
      <c r="F218" s="311">
        <v>14403656.560000001</v>
      </c>
      <c r="G218" s="311">
        <v>14403656.560000001</v>
      </c>
      <c r="I218" s="311">
        <v>1</v>
      </c>
    </row>
    <row r="219" spans="2:9" x14ac:dyDescent="0.35">
      <c r="B219" s="311">
        <v>93</v>
      </c>
      <c r="C219" s="311" t="s">
        <v>86</v>
      </c>
      <c r="D219" s="311" t="s">
        <v>89</v>
      </c>
      <c r="E219" s="311" t="s">
        <v>289</v>
      </c>
      <c r="F219" s="311">
        <v>20832859.620000001</v>
      </c>
      <c r="G219" s="311">
        <v>20832859.620000001</v>
      </c>
      <c r="I219" s="311">
        <v>1</v>
      </c>
    </row>
    <row r="220" spans="2:9" x14ac:dyDescent="0.35">
      <c r="B220" s="311">
        <v>101</v>
      </c>
      <c r="C220" s="311" t="s">
        <v>86</v>
      </c>
      <c r="D220" s="311" t="s">
        <v>88</v>
      </c>
      <c r="E220" s="311" t="s">
        <v>91</v>
      </c>
      <c r="F220" s="311">
        <v>17689519.859999999</v>
      </c>
      <c r="G220" s="311">
        <v>17737244.289999999</v>
      </c>
      <c r="I220" s="311">
        <v>1</v>
      </c>
    </row>
    <row r="221" spans="2:9" x14ac:dyDescent="0.35">
      <c r="B221" s="311">
        <v>101</v>
      </c>
      <c r="C221" s="311" t="s">
        <v>86</v>
      </c>
      <c r="D221" s="311" t="s">
        <v>272</v>
      </c>
      <c r="E221" s="311" t="s">
        <v>392</v>
      </c>
      <c r="F221" s="311">
        <v>14362314.560000001</v>
      </c>
      <c r="G221" s="311">
        <v>14362314.560000001</v>
      </c>
      <c r="I221" s="311">
        <v>1</v>
      </c>
    </row>
    <row r="222" spans="2:9" x14ac:dyDescent="0.35">
      <c r="B222" s="311">
        <v>116</v>
      </c>
      <c r="C222" s="311" t="s">
        <v>63</v>
      </c>
      <c r="D222" s="311" t="s">
        <v>304</v>
      </c>
      <c r="E222" s="311" t="s">
        <v>306</v>
      </c>
      <c r="F222" s="311">
        <v>17259890.789999999</v>
      </c>
      <c r="G222" s="311">
        <v>17259890.789999999</v>
      </c>
      <c r="I222" s="311">
        <v>1</v>
      </c>
    </row>
    <row r="223" spans="2:9" x14ac:dyDescent="0.35">
      <c r="B223" s="311">
        <v>121</v>
      </c>
      <c r="C223" s="311" t="s">
        <v>86</v>
      </c>
      <c r="D223" s="311" t="s">
        <v>88</v>
      </c>
      <c r="E223" s="311" t="s">
        <v>67</v>
      </c>
      <c r="F223" s="311">
        <v>25887906.82</v>
      </c>
      <c r="G223" s="311">
        <v>25887906.82</v>
      </c>
      <c r="I223" s="311">
        <v>1</v>
      </c>
    </row>
    <row r="224" spans="2:9" x14ac:dyDescent="0.35">
      <c r="B224" s="311">
        <v>4</v>
      </c>
      <c r="C224" s="311" t="s">
        <v>84</v>
      </c>
      <c r="D224" s="311" t="s">
        <v>90</v>
      </c>
      <c r="E224" s="311" t="s">
        <v>378</v>
      </c>
      <c r="F224" s="311">
        <v>19901920.989999998</v>
      </c>
      <c r="G224" s="311">
        <v>20095601.420000002</v>
      </c>
      <c r="I224" s="311">
        <v>1</v>
      </c>
    </row>
    <row r="225" spans="2:9" x14ac:dyDescent="0.35">
      <c r="B225" s="311">
        <v>4</v>
      </c>
      <c r="C225" s="311" t="s">
        <v>11</v>
      </c>
      <c r="D225" s="311" t="s">
        <v>78</v>
      </c>
      <c r="E225" s="311" t="s">
        <v>79</v>
      </c>
      <c r="F225" s="311">
        <v>20275576.309999999</v>
      </c>
      <c r="G225" s="311">
        <v>20336751.460000001</v>
      </c>
      <c r="I225" s="311">
        <v>1</v>
      </c>
    </row>
    <row r="226" spans="2:9" x14ac:dyDescent="0.35">
      <c r="B226" s="311">
        <v>4</v>
      </c>
      <c r="C226" s="311" t="s">
        <v>64</v>
      </c>
      <c r="D226" s="311" t="s">
        <v>62</v>
      </c>
      <c r="E226" s="311" t="s">
        <v>62</v>
      </c>
      <c r="F226" s="311">
        <v>18866091.25</v>
      </c>
      <c r="G226" s="311">
        <v>18866091.25</v>
      </c>
      <c r="I226" s="311">
        <v>1</v>
      </c>
    </row>
    <row r="227" spans="2:9" x14ac:dyDescent="0.35">
      <c r="B227" s="311">
        <v>4</v>
      </c>
      <c r="C227" s="311" t="s">
        <v>86</v>
      </c>
      <c r="D227" s="311" t="s">
        <v>363</v>
      </c>
      <c r="E227" s="311" t="s">
        <v>417</v>
      </c>
      <c r="F227" s="311">
        <v>21918642.300000001</v>
      </c>
      <c r="G227" s="311">
        <v>21918642.300000001</v>
      </c>
      <c r="I227" s="311">
        <v>1</v>
      </c>
    </row>
    <row r="228" spans="2:9" x14ac:dyDescent="0.35">
      <c r="B228" s="311">
        <v>4</v>
      </c>
      <c r="C228" s="311" t="s">
        <v>86</v>
      </c>
      <c r="D228" s="311" t="s">
        <v>89</v>
      </c>
      <c r="E228" s="311" t="s">
        <v>89</v>
      </c>
      <c r="F228" s="311">
        <v>17225529.32</v>
      </c>
      <c r="G228" s="311">
        <v>17365041.890000001</v>
      </c>
      <c r="I228" s="311">
        <v>1</v>
      </c>
    </row>
    <row r="229" spans="2:9" x14ac:dyDescent="0.35">
      <c r="B229" s="311">
        <v>28</v>
      </c>
      <c r="C229" s="311" t="s">
        <v>63</v>
      </c>
      <c r="D229" s="311" t="s">
        <v>375</v>
      </c>
      <c r="E229" s="311" t="s">
        <v>411</v>
      </c>
      <c r="F229" s="311">
        <v>17091998.390000001</v>
      </c>
      <c r="G229" s="311">
        <v>17091998.390000001</v>
      </c>
      <c r="I229" s="311">
        <v>1</v>
      </c>
    </row>
    <row r="230" spans="2:9" x14ac:dyDescent="0.35">
      <c r="B230" s="311">
        <v>32</v>
      </c>
      <c r="C230" s="311" t="s">
        <v>11</v>
      </c>
      <c r="D230" s="311" t="s">
        <v>78</v>
      </c>
      <c r="E230" s="311" t="s">
        <v>83</v>
      </c>
      <c r="F230" s="311">
        <v>21382285.5</v>
      </c>
      <c r="G230" s="311">
        <v>21418748.48</v>
      </c>
      <c r="I230" s="311">
        <v>1</v>
      </c>
    </row>
    <row r="231" spans="2:9" x14ac:dyDescent="0.35">
      <c r="B231" s="311">
        <v>87</v>
      </c>
      <c r="C231" s="311" t="s">
        <v>84</v>
      </c>
      <c r="D231" s="311" t="s">
        <v>90</v>
      </c>
      <c r="E231" s="311" t="s">
        <v>69</v>
      </c>
      <c r="F231" s="311">
        <v>23136277.579999998</v>
      </c>
      <c r="G231" s="311">
        <v>23190679.84</v>
      </c>
      <c r="I231" s="311">
        <v>1</v>
      </c>
    </row>
    <row r="232" spans="2:9" x14ac:dyDescent="0.35">
      <c r="B232" s="311">
        <v>87</v>
      </c>
      <c r="C232" s="311" t="s">
        <v>64</v>
      </c>
      <c r="D232" s="311" t="s">
        <v>62</v>
      </c>
      <c r="E232" s="311" t="s">
        <v>476</v>
      </c>
      <c r="F232" s="311">
        <v>16594683.749</v>
      </c>
      <c r="G232" s="311">
        <v>16601658.749</v>
      </c>
      <c r="I232" s="311">
        <v>10</v>
      </c>
    </row>
    <row r="233" spans="2:9" x14ac:dyDescent="0.35">
      <c r="B233" s="311">
        <v>87</v>
      </c>
      <c r="C233" s="311" t="s">
        <v>64</v>
      </c>
      <c r="D233" s="311" t="s">
        <v>74</v>
      </c>
      <c r="E233" s="311" t="s">
        <v>377</v>
      </c>
      <c r="F233" s="311">
        <v>21787343.184999999</v>
      </c>
      <c r="G233" s="311">
        <v>21787343.184999999</v>
      </c>
      <c r="I233" s="311">
        <v>2</v>
      </c>
    </row>
    <row r="234" spans="2:9" x14ac:dyDescent="0.35">
      <c r="B234" s="311">
        <v>87</v>
      </c>
      <c r="C234" s="311" t="s">
        <v>64</v>
      </c>
      <c r="D234" s="311" t="s">
        <v>74</v>
      </c>
      <c r="E234" s="311" t="s">
        <v>415</v>
      </c>
      <c r="F234" s="311">
        <v>19028046.653333299</v>
      </c>
      <c r="G234" s="311">
        <v>19059047.213333301</v>
      </c>
      <c r="I234" s="311">
        <v>3</v>
      </c>
    </row>
    <row r="235" spans="2:9" x14ac:dyDescent="0.35">
      <c r="B235" s="311">
        <v>87</v>
      </c>
      <c r="C235" s="311" t="s">
        <v>86</v>
      </c>
      <c r="D235" s="311" t="s">
        <v>88</v>
      </c>
      <c r="E235" s="311" t="s">
        <v>91</v>
      </c>
      <c r="F235" s="311">
        <v>26253157.579999998</v>
      </c>
      <c r="G235" s="311">
        <v>26326641.760000002</v>
      </c>
      <c r="I235" s="311">
        <v>1</v>
      </c>
    </row>
    <row r="236" spans="2:9" x14ac:dyDescent="0.35">
      <c r="B236" s="311">
        <v>88</v>
      </c>
      <c r="C236" s="311" t="s">
        <v>84</v>
      </c>
      <c r="D236" s="311" t="s">
        <v>90</v>
      </c>
      <c r="E236" s="311" t="s">
        <v>419</v>
      </c>
      <c r="F236" s="311">
        <v>14167962.699999999</v>
      </c>
      <c r="G236" s="311">
        <v>14299946.720000001</v>
      </c>
      <c r="I236" s="311">
        <v>1</v>
      </c>
    </row>
    <row r="237" spans="2:9" x14ac:dyDescent="0.35">
      <c r="B237" s="311">
        <v>88</v>
      </c>
      <c r="C237" s="311" t="s">
        <v>11</v>
      </c>
      <c r="D237" s="311" t="s">
        <v>71</v>
      </c>
      <c r="E237" s="311" t="s">
        <v>400</v>
      </c>
      <c r="F237" s="311">
        <v>15022899.08</v>
      </c>
      <c r="G237" s="311">
        <v>15161284.4</v>
      </c>
      <c r="I237" s="311">
        <v>1</v>
      </c>
    </row>
    <row r="238" spans="2:9" x14ac:dyDescent="0.35">
      <c r="B238" s="311">
        <v>93</v>
      </c>
      <c r="C238" s="311" t="s">
        <v>84</v>
      </c>
      <c r="D238" s="311" t="s">
        <v>90</v>
      </c>
      <c r="E238" s="311" t="s">
        <v>351</v>
      </c>
      <c r="F238" s="311">
        <v>17179229.120000001</v>
      </c>
      <c r="G238" s="311">
        <v>17179229.120000001</v>
      </c>
      <c r="I238" s="311">
        <v>1</v>
      </c>
    </row>
    <row r="239" spans="2:9" x14ac:dyDescent="0.35">
      <c r="B239" s="311">
        <v>93</v>
      </c>
      <c r="C239" s="311" t="s">
        <v>84</v>
      </c>
      <c r="D239" s="311" t="s">
        <v>90</v>
      </c>
      <c r="E239" s="311" t="s">
        <v>378</v>
      </c>
      <c r="F239" s="311">
        <v>20270506.600000001</v>
      </c>
      <c r="G239" s="311">
        <v>20270506.600000001</v>
      </c>
      <c r="I239" s="311">
        <v>1</v>
      </c>
    </row>
    <row r="240" spans="2:9" x14ac:dyDescent="0.35">
      <c r="B240" s="311">
        <v>93</v>
      </c>
      <c r="C240" s="311" t="s">
        <v>11</v>
      </c>
      <c r="D240" s="311" t="s">
        <v>356</v>
      </c>
      <c r="E240" s="311" t="s">
        <v>349</v>
      </c>
      <c r="F240" s="311">
        <v>20387437.760000002</v>
      </c>
      <c r="G240" s="311">
        <v>20553482.52</v>
      </c>
      <c r="I240" s="311">
        <v>1</v>
      </c>
    </row>
    <row r="241" spans="2:9" x14ac:dyDescent="0.35">
      <c r="B241" s="311">
        <v>93</v>
      </c>
      <c r="C241" s="311" t="s">
        <v>11</v>
      </c>
      <c r="D241" s="311" t="s">
        <v>78</v>
      </c>
      <c r="E241" s="311" t="s">
        <v>387</v>
      </c>
      <c r="F241" s="311">
        <v>17060823.77</v>
      </c>
      <c r="G241" s="311">
        <v>17217190.045000002</v>
      </c>
      <c r="I241" s="311">
        <v>2</v>
      </c>
    </row>
    <row r="242" spans="2:9" x14ac:dyDescent="0.35">
      <c r="B242" s="311">
        <v>93</v>
      </c>
      <c r="C242" s="311" t="s">
        <v>11</v>
      </c>
      <c r="D242" s="311" t="s">
        <v>82</v>
      </c>
      <c r="E242" s="311" t="s">
        <v>349</v>
      </c>
      <c r="F242" s="311">
        <v>18107704.949999999</v>
      </c>
      <c r="G242" s="311">
        <v>18107704.949999999</v>
      </c>
      <c r="I242" s="311">
        <v>1</v>
      </c>
    </row>
    <row r="243" spans="2:9" x14ac:dyDescent="0.35">
      <c r="B243" s="311">
        <v>93</v>
      </c>
      <c r="C243" s="311" t="s">
        <v>12</v>
      </c>
      <c r="D243" s="311" t="s">
        <v>12</v>
      </c>
      <c r="E243" s="311" t="s">
        <v>421</v>
      </c>
      <c r="F243" s="311">
        <v>39132017.365999997</v>
      </c>
      <c r="G243" s="311">
        <v>39295977.913500004</v>
      </c>
      <c r="I243" s="311">
        <v>20</v>
      </c>
    </row>
    <row r="244" spans="2:9" x14ac:dyDescent="0.35">
      <c r="B244" s="311">
        <v>93</v>
      </c>
      <c r="C244" s="311" t="s">
        <v>13</v>
      </c>
      <c r="D244" s="311" t="s">
        <v>87</v>
      </c>
      <c r="E244" s="311" t="s">
        <v>294</v>
      </c>
      <c r="F244" s="311">
        <v>20128740</v>
      </c>
      <c r="G244" s="311">
        <v>20317200</v>
      </c>
      <c r="I244" s="311">
        <v>1</v>
      </c>
    </row>
    <row r="245" spans="2:9" x14ac:dyDescent="0.35">
      <c r="B245" s="311">
        <v>93</v>
      </c>
      <c r="C245" s="311" t="s">
        <v>13</v>
      </c>
      <c r="D245" s="311" t="s">
        <v>87</v>
      </c>
      <c r="E245" s="311" t="s">
        <v>282</v>
      </c>
      <c r="F245" s="311">
        <v>21875750</v>
      </c>
      <c r="G245" s="311">
        <v>21955750</v>
      </c>
      <c r="I245" s="311">
        <v>1</v>
      </c>
    </row>
    <row r="246" spans="2:9" x14ac:dyDescent="0.35">
      <c r="B246" s="311">
        <v>93</v>
      </c>
      <c r="C246" s="311" t="s">
        <v>63</v>
      </c>
      <c r="D246" s="311" t="s">
        <v>295</v>
      </c>
      <c r="E246" s="311" t="s">
        <v>361</v>
      </c>
      <c r="F246" s="311">
        <v>19996087.18</v>
      </c>
      <c r="G246" s="311">
        <v>19996087.18</v>
      </c>
      <c r="I246" s="311">
        <v>1</v>
      </c>
    </row>
    <row r="247" spans="2:9" x14ac:dyDescent="0.35">
      <c r="B247" s="311">
        <v>93</v>
      </c>
      <c r="C247" s="311" t="s">
        <v>64</v>
      </c>
      <c r="D247" s="311" t="s">
        <v>64</v>
      </c>
      <c r="E247" s="311" t="s">
        <v>427</v>
      </c>
      <c r="F247" s="311">
        <v>22640813.77</v>
      </c>
      <c r="G247" s="311">
        <v>22829733.949999999</v>
      </c>
      <c r="I247" s="311">
        <v>1</v>
      </c>
    </row>
    <row r="248" spans="2:9" x14ac:dyDescent="0.35">
      <c r="B248" s="311">
        <v>93</v>
      </c>
      <c r="C248" s="311" t="s">
        <v>64</v>
      </c>
      <c r="D248" s="311" t="s">
        <v>62</v>
      </c>
      <c r="E248" s="311" t="s">
        <v>379</v>
      </c>
      <c r="F248" s="311">
        <v>14317640</v>
      </c>
      <c r="G248" s="311">
        <v>14475200</v>
      </c>
      <c r="I248" s="311">
        <v>1</v>
      </c>
    </row>
    <row r="249" spans="2:9" x14ac:dyDescent="0.35">
      <c r="B249" s="311">
        <v>93</v>
      </c>
      <c r="C249" s="311" t="s">
        <v>64</v>
      </c>
      <c r="D249" s="311" t="s">
        <v>330</v>
      </c>
      <c r="E249" s="311" t="s">
        <v>331</v>
      </c>
      <c r="F249" s="311">
        <v>26161677.739999998</v>
      </c>
      <c r="G249" s="311">
        <v>26234530.84</v>
      </c>
      <c r="I249" s="311">
        <v>1</v>
      </c>
    </row>
    <row r="250" spans="2:9" x14ac:dyDescent="0.35">
      <c r="B250" s="311">
        <v>93</v>
      </c>
      <c r="C250" s="311" t="s">
        <v>64</v>
      </c>
      <c r="D250" s="311" t="s">
        <v>80</v>
      </c>
      <c r="E250" s="311" t="s">
        <v>344</v>
      </c>
      <c r="F250" s="311">
        <v>20266995</v>
      </c>
      <c r="G250" s="311">
        <v>20325550</v>
      </c>
      <c r="I250" s="311">
        <v>1</v>
      </c>
    </row>
    <row r="251" spans="2:9" x14ac:dyDescent="0.35">
      <c r="B251" s="311">
        <v>93</v>
      </c>
      <c r="C251" s="311" t="s">
        <v>64</v>
      </c>
      <c r="D251" s="311" t="s">
        <v>329</v>
      </c>
      <c r="E251" s="311" t="s">
        <v>345</v>
      </c>
      <c r="F251" s="311">
        <v>16528453.439999999</v>
      </c>
      <c r="G251" s="311">
        <v>16652076.34</v>
      </c>
      <c r="I251" s="311">
        <v>1</v>
      </c>
    </row>
    <row r="252" spans="2:9" x14ac:dyDescent="0.35">
      <c r="B252" s="311">
        <v>93</v>
      </c>
      <c r="C252" s="311" t="s">
        <v>86</v>
      </c>
      <c r="D252" s="311" t="s">
        <v>88</v>
      </c>
      <c r="E252" s="311" t="s">
        <v>67</v>
      </c>
      <c r="F252" s="311">
        <v>14787038.84</v>
      </c>
      <c r="G252" s="311">
        <v>14933841.199999999</v>
      </c>
      <c r="I252" s="311">
        <v>2</v>
      </c>
    </row>
    <row r="253" spans="2:9" x14ac:dyDescent="0.35">
      <c r="B253" s="311">
        <v>93</v>
      </c>
      <c r="C253" s="311" t="s">
        <v>86</v>
      </c>
      <c r="D253" s="311" t="s">
        <v>88</v>
      </c>
      <c r="E253" s="311" t="s">
        <v>465</v>
      </c>
      <c r="F253" s="311">
        <v>21394930.129999999</v>
      </c>
      <c r="G253" s="311">
        <v>21459922.370000001</v>
      </c>
      <c r="I253" s="311">
        <v>1</v>
      </c>
    </row>
    <row r="254" spans="2:9" x14ac:dyDescent="0.35">
      <c r="B254" s="311">
        <v>93</v>
      </c>
      <c r="C254" s="311" t="s">
        <v>86</v>
      </c>
      <c r="D254" s="311" t="s">
        <v>363</v>
      </c>
      <c r="E254" s="311" t="s">
        <v>417</v>
      </c>
      <c r="F254" s="311">
        <v>15476850</v>
      </c>
      <c r="G254" s="311">
        <v>15764700</v>
      </c>
      <c r="I254" s="311">
        <v>1</v>
      </c>
    </row>
    <row r="255" spans="2:9" x14ac:dyDescent="0.35">
      <c r="B255" s="311">
        <v>93</v>
      </c>
      <c r="C255" s="311" t="s">
        <v>86</v>
      </c>
      <c r="D255" s="311" t="s">
        <v>89</v>
      </c>
      <c r="E255" s="311" t="s">
        <v>89</v>
      </c>
      <c r="F255" s="311">
        <v>18099780</v>
      </c>
      <c r="G255" s="311">
        <v>18164780</v>
      </c>
      <c r="I255" s="311">
        <v>1</v>
      </c>
    </row>
    <row r="256" spans="2:9" x14ac:dyDescent="0.35">
      <c r="B256" s="311">
        <v>93</v>
      </c>
      <c r="C256" s="311" t="s">
        <v>86</v>
      </c>
      <c r="D256" s="311" t="s">
        <v>89</v>
      </c>
      <c r="E256" s="311" t="s">
        <v>289</v>
      </c>
      <c r="F256" s="311">
        <v>20832859.620000001</v>
      </c>
      <c r="G256" s="311">
        <v>20832859.620000001</v>
      </c>
      <c r="I256" s="311">
        <v>1</v>
      </c>
    </row>
    <row r="257" spans="2:9" x14ac:dyDescent="0.35">
      <c r="B257" s="311">
        <v>93</v>
      </c>
      <c r="C257" s="311" t="s">
        <v>86</v>
      </c>
      <c r="D257" s="311" t="s">
        <v>89</v>
      </c>
      <c r="E257" s="311" t="s">
        <v>418</v>
      </c>
      <c r="F257" s="311">
        <v>20384100</v>
      </c>
      <c r="G257" s="311">
        <v>20668200</v>
      </c>
      <c r="I257" s="311">
        <v>1</v>
      </c>
    </row>
    <row r="258" spans="2:9" x14ac:dyDescent="0.35">
      <c r="B258" s="311">
        <v>96</v>
      </c>
      <c r="C258" s="311" t="s">
        <v>84</v>
      </c>
      <c r="D258" s="311" t="s">
        <v>477</v>
      </c>
      <c r="E258" s="311" t="s">
        <v>478</v>
      </c>
      <c r="F258" s="311">
        <v>12545855.109999999</v>
      </c>
      <c r="G258" s="311">
        <v>12545855.109999999</v>
      </c>
      <c r="I258" s="311">
        <v>1</v>
      </c>
    </row>
    <row r="259" spans="2:9" x14ac:dyDescent="0.35">
      <c r="B259" s="311">
        <v>105</v>
      </c>
      <c r="C259" s="311" t="s">
        <v>11</v>
      </c>
      <c r="D259" s="311" t="s">
        <v>78</v>
      </c>
      <c r="E259" s="311" t="s">
        <v>387</v>
      </c>
      <c r="F259" s="311">
        <v>17947266.510000002</v>
      </c>
      <c r="G259" s="311">
        <v>18086197.223333299</v>
      </c>
      <c r="I259" s="311">
        <v>3</v>
      </c>
    </row>
    <row r="260" spans="2:9" x14ac:dyDescent="0.35">
      <c r="B260" s="311">
        <v>117</v>
      </c>
      <c r="C260" s="311" t="s">
        <v>11</v>
      </c>
      <c r="D260" s="311" t="s">
        <v>78</v>
      </c>
      <c r="E260" s="311" t="s">
        <v>387</v>
      </c>
      <c r="F260" s="311">
        <v>18065774.670000002</v>
      </c>
      <c r="G260" s="311">
        <v>18065774.670000002</v>
      </c>
      <c r="I260" s="311">
        <v>1</v>
      </c>
    </row>
    <row r="261" spans="2:9" x14ac:dyDescent="0.35">
      <c r="B261" s="311">
        <v>117</v>
      </c>
      <c r="C261" s="311" t="s">
        <v>11</v>
      </c>
      <c r="D261" s="311" t="s">
        <v>279</v>
      </c>
      <c r="E261" s="311" t="s">
        <v>279</v>
      </c>
      <c r="F261" s="311">
        <v>14992115.539999999</v>
      </c>
      <c r="G261" s="311">
        <v>14992115.539999999</v>
      </c>
      <c r="I261" s="311">
        <v>1</v>
      </c>
    </row>
    <row r="262" spans="2:9" x14ac:dyDescent="0.35">
      <c r="B262" s="311">
        <v>117</v>
      </c>
      <c r="C262" s="311" t="s">
        <v>63</v>
      </c>
      <c r="D262" s="311" t="s">
        <v>341</v>
      </c>
      <c r="E262" s="311" t="s">
        <v>341</v>
      </c>
      <c r="F262" s="311">
        <v>21345767.579999998</v>
      </c>
      <c r="G262" s="311">
        <v>21345767.579999998</v>
      </c>
      <c r="I262" s="311">
        <v>1</v>
      </c>
    </row>
    <row r="263" spans="2:9" x14ac:dyDescent="0.35">
      <c r="B263" s="311">
        <v>121</v>
      </c>
      <c r="C263" s="311" t="s">
        <v>11</v>
      </c>
      <c r="D263" s="311" t="s">
        <v>71</v>
      </c>
      <c r="E263" s="311" t="s">
        <v>388</v>
      </c>
      <c r="F263" s="311">
        <v>17822793</v>
      </c>
      <c r="G263" s="311">
        <v>17822793</v>
      </c>
      <c r="I263" s="311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2025-05-19T21:52:46Z</dcterms:modified>
</cp:coreProperties>
</file>